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0" yWindow="0" windowWidth="15390" windowHeight="7455" tabRatio="868"/>
  </bookViews>
  <sheets>
    <sheet name="SPESE TEC. AMBITO A" sheetId="16" r:id="rId1"/>
    <sheet name="SPESE TECNICHE AMBITO B" sheetId="12" r:id="rId2"/>
    <sheet name="Tab. coeff-ID" sheetId="1" r:id="rId3"/>
    <sheet name="tab z-2" sheetId="18" r:id="rId4"/>
    <sheet name="GRAFICO (spese ambito A )" sheetId="15" r:id="rId5"/>
    <sheet name="Grafico (spese ambito B)" sheetId="19" r:id="rId6"/>
    <sheet name="Calcoli (spese amb.B)" sheetId="17" state="hidden" r:id="rId7"/>
    <sheet name="calcoli GRAFICO" sheetId="14" state="hidden" r:id="rId8"/>
  </sheets>
  <definedNames>
    <definedName name="_xlnm._FilterDatabase" localSheetId="1" hidden="1">'SPESE TEC. AMBITO A'!$Y$106:$Y$128</definedName>
    <definedName name="ABITANTI" localSheetId="6">#REF!</definedName>
    <definedName name="ABITANTI" localSheetId="1">'SPESE TECNICHE AMBITO B'!#REF!</definedName>
    <definedName name="ABITANTI">#REF!</definedName>
    <definedName name="E.01">'Tab. coeff-ID'!$E$3:$E$14</definedName>
    <definedName name="ID">'SPESE TEC. AMBITO A'!$G$8</definedName>
  </definedNames>
  <calcPr calcId="125725"/>
</workbook>
</file>

<file path=xl/calcChain.xml><?xml version="1.0" encoding="utf-8"?>
<calcChain xmlns="http://schemas.openxmlformats.org/spreadsheetml/2006/main">
  <c r="N4" i="1"/>
  <c r="O4"/>
  <c r="O5" s="1"/>
  <c r="N8"/>
  <c r="O8"/>
  <c r="N5"/>
  <c r="N6" l="1"/>
  <c r="O6"/>
  <c r="O9"/>
  <c r="N9"/>
  <c r="AP16"/>
  <c r="AP17"/>
  <c r="AP18"/>
  <c r="AP19"/>
  <c r="AP15"/>
  <c r="AO15"/>
  <c r="AO16"/>
  <c r="AO17"/>
  <c r="AO18"/>
  <c r="AO19"/>
  <c r="AO14"/>
  <c r="AL15"/>
  <c r="AM15" s="1"/>
  <c r="AL16"/>
  <c r="AL17"/>
  <c r="AM17" s="1"/>
  <c r="AL18"/>
  <c r="AM19" s="1"/>
  <c r="AL19"/>
  <c r="AL14"/>
  <c r="AN15"/>
  <c r="L3"/>
  <c r="AM18" l="1"/>
  <c r="AM16"/>
  <c r="AN16"/>
  <c r="AN17" l="1"/>
  <c r="V109" i="18"/>
  <c r="N109"/>
  <c r="L109"/>
  <c r="J109"/>
  <c r="H109"/>
  <c r="N107"/>
  <c r="J107"/>
  <c r="AN18" i="1" l="1"/>
  <c r="M4" i="16"/>
  <c r="G9" i="12"/>
  <c r="J9" s="1"/>
  <c r="F22"/>
  <c r="F11"/>
  <c r="F12" s="1"/>
  <c r="F13" s="1"/>
  <c r="F14" s="1"/>
  <c r="F16" s="1"/>
  <c r="F10"/>
  <c r="P60" i="17"/>
  <c r="P59"/>
  <c r="P58"/>
  <c r="P57"/>
  <c r="P56"/>
  <c r="P55"/>
  <c r="P54"/>
  <c r="P53"/>
  <c r="P52"/>
  <c r="P51"/>
  <c r="P50"/>
  <c r="P49"/>
  <c r="P48"/>
  <c r="P47"/>
  <c r="P46"/>
  <c r="P45"/>
  <c r="P44"/>
  <c r="P43"/>
  <c r="P42"/>
  <c r="P41"/>
  <c r="P40"/>
  <c r="P39"/>
  <c r="P38"/>
  <c r="P37"/>
  <c r="P36"/>
  <c r="P35"/>
  <c r="P34"/>
  <c r="P33"/>
  <c r="P32"/>
  <c r="P31"/>
  <c r="P30"/>
  <c r="P29"/>
  <c r="P28"/>
  <c r="P27"/>
  <c r="P26"/>
  <c r="P25"/>
  <c r="P24"/>
  <c r="P23"/>
  <c r="P22"/>
  <c r="P21"/>
  <c r="P20"/>
  <c r="P19"/>
  <c r="P18"/>
  <c r="P17"/>
  <c r="P16"/>
  <c r="P15"/>
  <c r="P14"/>
  <c r="P13"/>
  <c r="P12"/>
  <c r="P11"/>
  <c r="P10"/>
  <c r="P9"/>
  <c r="P8"/>
  <c r="P7"/>
  <c r="P6"/>
  <c r="P5"/>
  <c r="P4"/>
  <c r="P3"/>
  <c r="M81" i="14"/>
  <c r="M4"/>
  <c r="M5"/>
  <c r="M6"/>
  <c r="M7"/>
  <c r="M8"/>
  <c r="M9"/>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78"/>
  <c r="M79"/>
  <c r="M80"/>
  <c r="Q21" i="17"/>
  <c r="S5" i="14"/>
  <c r="S6"/>
  <c r="S7"/>
  <c r="S8"/>
  <c r="S9"/>
  <c r="S10"/>
  <c r="S11"/>
  <c r="S12"/>
  <c r="S13"/>
  <c r="S14"/>
  <c r="S15"/>
  <c r="S16"/>
  <c r="S17"/>
  <c r="S18"/>
  <c r="S19"/>
  <c r="S20"/>
  <c r="S21"/>
  <c r="S22"/>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4"/>
  <c r="I10" i="12"/>
  <c r="I11" s="1"/>
  <c r="I12" s="1"/>
  <c r="I13" s="1"/>
  <c r="I14" s="1"/>
  <c r="I16" s="1"/>
  <c r="I17" s="1"/>
  <c r="I18" s="1"/>
  <c r="I19" s="1"/>
  <c r="I20" s="1"/>
  <c r="I21" s="1"/>
  <c r="I22" s="1"/>
  <c r="H10"/>
  <c r="H11" s="1"/>
  <c r="H12" s="1"/>
  <c r="H13" s="1"/>
  <c r="H14" s="1"/>
  <c r="E15"/>
  <c r="AN19" i="1" l="1"/>
  <c r="T101" i="18"/>
  <c r="T77"/>
  <c r="T75"/>
  <c r="T61"/>
  <c r="T41"/>
  <c r="T39"/>
  <c r="T30"/>
  <c r="T102"/>
  <c r="T100"/>
  <c r="T78"/>
  <c r="T74"/>
  <c r="T62"/>
  <c r="T60"/>
  <c r="T42"/>
  <c r="T38"/>
  <c r="T31"/>
  <c r="T29"/>
  <c r="G10" i="12"/>
  <c r="G11" s="1"/>
  <c r="F18"/>
  <c r="F20" s="1"/>
  <c r="F17"/>
  <c r="F19" s="1"/>
  <c r="F21" s="1"/>
  <c r="H16"/>
  <c r="H17" s="1"/>
  <c r="H18" s="1"/>
  <c r="H19" s="1"/>
  <c r="H20" s="1"/>
  <c r="H21" s="1"/>
  <c r="H22" s="1"/>
  <c r="J10" l="1"/>
  <c r="K10" s="1"/>
  <c r="G12"/>
  <c r="J11"/>
  <c r="K11" s="1"/>
  <c r="J12" l="1"/>
  <c r="K12" s="1"/>
  <c r="G13"/>
  <c r="K14"/>
  <c r="L14" s="1"/>
  <c r="J4" i="16"/>
  <c r="G9"/>
  <c r="H9"/>
  <c r="I9"/>
  <c r="J9"/>
  <c r="M9"/>
  <c r="N9"/>
  <c r="H10"/>
  <c r="I10" s="1"/>
  <c r="T98" i="18" l="1"/>
  <c r="T99"/>
  <c r="T59"/>
  <c r="T58"/>
  <c r="T27"/>
  <c r="T28"/>
  <c r="N99"/>
  <c r="N76"/>
  <c r="N62"/>
  <c r="N58"/>
  <c r="N38"/>
  <c r="N28"/>
  <c r="N102"/>
  <c r="N75"/>
  <c r="N31"/>
  <c r="N100"/>
  <c r="N77"/>
  <c r="N59"/>
  <c r="N39"/>
  <c r="N29"/>
  <c r="N61"/>
  <c r="N27"/>
  <c r="N101"/>
  <c r="N78"/>
  <c r="N74"/>
  <c r="N60"/>
  <c r="N41"/>
  <c r="N30"/>
  <c r="N98"/>
  <c r="N42"/>
  <c r="J13" i="12"/>
  <c r="K13" s="1"/>
  <c r="G14"/>
  <c r="G16" s="1"/>
  <c r="J16" s="1"/>
  <c r="K16" s="1"/>
  <c r="L16" s="1"/>
  <c r="J7" i="16"/>
  <c r="N128" i="18" s="1"/>
  <c r="J10" i="16"/>
  <c r="M10" s="1"/>
  <c r="N106" i="18" l="1"/>
  <c r="N108"/>
  <c r="N73"/>
  <c r="N135"/>
  <c r="N129"/>
  <c r="N130"/>
  <c r="N134"/>
  <c r="G17" i="12"/>
  <c r="J17" s="1"/>
  <c r="K17" s="1"/>
  <c r="L17" s="1"/>
  <c r="K9"/>
  <c r="J4" i="17"/>
  <c r="J5"/>
  <c r="J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3"/>
  <c r="T4"/>
  <c r="T3"/>
  <c r="T54"/>
  <c r="T53"/>
  <c r="T52"/>
  <c r="T51"/>
  <c r="T50"/>
  <c r="T49"/>
  <c r="T48"/>
  <c r="T47"/>
  <c r="T46"/>
  <c r="T45"/>
  <c r="T44"/>
  <c r="T43"/>
  <c r="T42"/>
  <c r="T41"/>
  <c r="T40"/>
  <c r="T39"/>
  <c r="T38"/>
  <c r="T37"/>
  <c r="T36"/>
  <c r="T35"/>
  <c r="T34"/>
  <c r="T33"/>
  <c r="T32"/>
  <c r="T31"/>
  <c r="T30"/>
  <c r="T29"/>
  <c r="T28"/>
  <c r="T27"/>
  <c r="T26"/>
  <c r="T25"/>
  <c r="T24"/>
  <c r="T23"/>
  <c r="T22"/>
  <c r="T21"/>
  <c r="T20"/>
  <c r="T19"/>
  <c r="T18"/>
  <c r="T17"/>
  <c r="T16"/>
  <c r="T15"/>
  <c r="T14"/>
  <c r="T13"/>
  <c r="T12"/>
  <c r="T11"/>
  <c r="T10"/>
  <c r="T9"/>
  <c r="T8"/>
  <c r="T7"/>
  <c r="T6"/>
  <c r="T5"/>
  <c r="G18" i="12" l="1"/>
  <c r="J18" s="1"/>
  <c r="K18" s="1"/>
  <c r="L18" s="1"/>
  <c r="L11"/>
  <c r="N10" i="16"/>
  <c r="G19" i="12" l="1"/>
  <c r="G20" s="1"/>
  <c r="J20" s="1"/>
  <c r="K20" s="1"/>
  <c r="L20" s="1"/>
  <c r="J19" l="1"/>
  <c r="K19" s="1"/>
  <c r="G21"/>
  <c r="J21" l="1"/>
  <c r="K21" s="1"/>
  <c r="L21" s="1"/>
  <c r="G22"/>
  <c r="J22" s="1"/>
  <c r="K22" s="1"/>
  <c r="L22" s="1"/>
  <c r="L19"/>
  <c r="L12"/>
  <c r="K23" l="1"/>
  <c r="L23" s="1"/>
  <c r="L13"/>
  <c r="A15" l="1"/>
  <c r="L10"/>
  <c r="L9"/>
  <c r="B3" l="1"/>
  <c r="H4" i="16"/>
  <c r="J102" i="18" l="1"/>
  <c r="J101"/>
  <c r="J100"/>
  <c r="J99"/>
  <c r="J98"/>
  <c r="J62"/>
  <c r="J61"/>
  <c r="J42"/>
  <c r="J41"/>
  <c r="J39"/>
  <c r="J75"/>
  <c r="J74"/>
  <c r="J60"/>
  <c r="J38"/>
  <c r="J78"/>
  <c r="J77"/>
  <c r="J59"/>
  <c r="J31"/>
  <c r="J30"/>
  <c r="J29"/>
  <c r="J28"/>
  <c r="N4" i="16"/>
  <c r="I4"/>
  <c r="H7"/>
  <c r="J128" i="18" s="1"/>
  <c r="V101" l="1"/>
  <c r="V75"/>
  <c r="V61"/>
  <c r="V39"/>
  <c r="V30"/>
  <c r="V99"/>
  <c r="V41"/>
  <c r="V102"/>
  <c r="V98"/>
  <c r="V62"/>
  <c r="V58"/>
  <c r="V31"/>
  <c r="V27"/>
  <c r="V28"/>
  <c r="V100"/>
  <c r="V78"/>
  <c r="V74"/>
  <c r="V60"/>
  <c r="V42"/>
  <c r="V38"/>
  <c r="V29"/>
  <c r="V77"/>
  <c r="V59"/>
  <c r="J129"/>
  <c r="J130"/>
  <c r="J134"/>
  <c r="J135"/>
  <c r="L100"/>
  <c r="L74"/>
  <c r="L62"/>
  <c r="L30"/>
  <c r="L99"/>
  <c r="L61"/>
  <c r="L42"/>
  <c r="L77"/>
  <c r="L75"/>
  <c r="L102"/>
  <c r="L98"/>
  <c r="L78"/>
  <c r="L41"/>
  <c r="L39"/>
  <c r="L101"/>
  <c r="L38"/>
  <c r="L31"/>
  <c r="J97"/>
  <c r="N7" i="16"/>
  <c r="M7"/>
  <c r="I7"/>
  <c r="L108" i="18" s="1"/>
  <c r="V108" l="1"/>
  <c r="V106"/>
  <c r="V40"/>
  <c r="V57"/>
  <c r="V133"/>
  <c r="V132"/>
  <c r="V124"/>
  <c r="V129"/>
  <c r="V130"/>
  <c r="V138"/>
  <c r="V139"/>
  <c r="V134"/>
  <c r="V128"/>
  <c r="V126"/>
  <c r="V136"/>
  <c r="V37"/>
  <c r="V76"/>
  <c r="V73"/>
  <c r="V97"/>
  <c r="V137"/>
  <c r="V26"/>
  <c r="V127"/>
  <c r="V135"/>
  <c r="V131"/>
  <c r="V125"/>
  <c r="T126"/>
  <c r="T131"/>
  <c r="T135"/>
  <c r="T139"/>
  <c r="T127"/>
  <c r="T132"/>
  <c r="T57"/>
  <c r="T137"/>
  <c r="T124"/>
  <c r="T136"/>
  <c r="T37"/>
  <c r="T76"/>
  <c r="T138"/>
  <c r="T26"/>
  <c r="T133"/>
  <c r="T140"/>
  <c r="T128"/>
  <c r="T125"/>
  <c r="T129"/>
  <c r="T97"/>
  <c r="T134"/>
  <c r="T130"/>
  <c r="T73"/>
  <c r="T40"/>
  <c r="L128"/>
  <c r="L135"/>
  <c r="L129"/>
  <c r="L130"/>
  <c r="L134"/>
  <c r="L97"/>
  <c r="J27" l="1"/>
  <c r="J58"/>
  <c r="L29" l="1"/>
  <c r="L60"/>
  <c r="G4" i="16"/>
  <c r="O4" s="1"/>
  <c r="P3" i="1" l="1"/>
  <c r="M7" s="1"/>
  <c r="P7" s="1"/>
  <c r="H101" i="18"/>
  <c r="H29"/>
  <c r="H62"/>
  <c r="H38"/>
  <c r="H30"/>
  <c r="H41"/>
  <c r="H102"/>
  <c r="H27"/>
  <c r="H75"/>
  <c r="H77"/>
  <c r="H78"/>
  <c r="H39"/>
  <c r="H31"/>
  <c r="H42"/>
  <c r="H28"/>
  <c r="H74"/>
  <c r="G7" i="16"/>
  <c r="H135" i="18" s="1"/>
  <c r="M8" i="1" l="1"/>
  <c r="P8" s="1"/>
  <c r="M4"/>
  <c r="H134" i="18"/>
  <c r="H128"/>
  <c r="H40"/>
  <c r="H130"/>
  <c r="H26"/>
  <c r="H37"/>
  <c r="H129"/>
  <c r="M5" i="1" l="1"/>
  <c r="P4"/>
  <c r="M9"/>
  <c r="P9" s="1"/>
  <c r="V107" i="18"/>
  <c r="M6" i="1" l="1"/>
  <c r="P6" s="1"/>
  <c r="P5"/>
  <c r="I11" i="16"/>
  <c r="L37" i="18" s="1"/>
  <c r="M11" i="16"/>
  <c r="T110" i="18" s="1"/>
  <c r="N11" i="16"/>
  <c r="V87" i="18" s="1"/>
  <c r="T109"/>
  <c r="T107"/>
  <c r="L107"/>
  <c r="L28"/>
  <c r="L59"/>
  <c r="L58"/>
  <c r="L27"/>
  <c r="T50" l="1"/>
  <c r="V113"/>
  <c r="V15"/>
  <c r="L45"/>
  <c r="L67"/>
  <c r="L71"/>
  <c r="L16"/>
  <c r="L35"/>
  <c r="L13"/>
  <c r="L89"/>
  <c r="L73"/>
  <c r="L66"/>
  <c r="L115"/>
  <c r="L26"/>
  <c r="L53"/>
  <c r="L54"/>
  <c r="L44"/>
  <c r="L12"/>
  <c r="L112"/>
  <c r="L9"/>
  <c r="L7"/>
  <c r="L95"/>
  <c r="L57"/>
  <c r="L50"/>
  <c r="L14"/>
  <c r="L92"/>
  <c r="L69"/>
  <c r="L33"/>
  <c r="L96"/>
  <c r="L32"/>
  <c r="L17"/>
  <c r="L105"/>
  <c r="L20"/>
  <c r="L25"/>
  <c r="L118"/>
  <c r="L52"/>
  <c r="L81"/>
  <c r="L117"/>
  <c r="L49"/>
  <c r="L48"/>
  <c r="L8"/>
  <c r="L47"/>
  <c r="L24"/>
  <c r="L93"/>
  <c r="L116"/>
  <c r="L82"/>
  <c r="L72"/>
  <c r="L114"/>
  <c r="L76"/>
  <c r="L56"/>
  <c r="L68"/>
  <c r="L88"/>
  <c r="L18"/>
  <c r="L79"/>
  <c r="L10"/>
  <c r="L104"/>
  <c r="L22"/>
  <c r="L11"/>
  <c r="L36"/>
  <c r="L94"/>
  <c r="L19"/>
  <c r="L80"/>
  <c r="L119"/>
  <c r="L113"/>
  <c r="L63"/>
  <c r="L55"/>
  <c r="L34"/>
  <c r="L110"/>
  <c r="L51"/>
  <c r="L83"/>
  <c r="L6"/>
  <c r="L15"/>
  <c r="L85"/>
  <c r="L90"/>
  <c r="L86"/>
  <c r="L87"/>
  <c r="L103"/>
  <c r="L65"/>
  <c r="L91"/>
  <c r="L23"/>
  <c r="L70"/>
  <c r="L43"/>
  <c r="L64"/>
  <c r="L84"/>
  <c r="L21"/>
  <c r="L106"/>
  <c r="L46"/>
  <c r="L40"/>
  <c r="L111"/>
  <c r="V105"/>
  <c r="V52"/>
  <c r="V9"/>
  <c r="V118"/>
  <c r="V24"/>
  <c r="V50"/>
  <c r="V79"/>
  <c r="V88"/>
  <c r="V47"/>
  <c r="V51"/>
  <c r="V93"/>
  <c r="V56"/>
  <c r="V23"/>
  <c r="V49"/>
  <c r="V86"/>
  <c r="V65"/>
  <c r="V8"/>
  <c r="V82"/>
  <c r="V83"/>
  <c r="V104"/>
  <c r="V95"/>
  <c r="V11"/>
  <c r="V53"/>
  <c r="V34"/>
  <c r="V91"/>
  <c r="V19"/>
  <c r="V68"/>
  <c r="T111"/>
  <c r="T86"/>
  <c r="T69"/>
  <c r="T11"/>
  <c r="T55"/>
  <c r="V18"/>
  <c r="V13"/>
  <c r="V72"/>
  <c r="V10"/>
  <c r="V7"/>
  <c r="V45"/>
  <c r="V63"/>
  <c r="V6"/>
  <c r="V43"/>
  <c r="T10"/>
  <c r="T80"/>
  <c r="T48"/>
  <c r="T113"/>
  <c r="T87"/>
  <c r="T116"/>
  <c r="T117"/>
  <c r="T115"/>
  <c r="T94"/>
  <c r="T89"/>
  <c r="T7"/>
  <c r="T56"/>
  <c r="T44"/>
  <c r="T83"/>
  <c r="T108"/>
  <c r="T15"/>
  <c r="T79"/>
  <c r="T114"/>
  <c r="T105"/>
  <c r="T51"/>
  <c r="T18"/>
  <c r="T32"/>
  <c r="T85"/>
  <c r="T104"/>
  <c r="T17"/>
  <c r="T68"/>
  <c r="T52"/>
  <c r="T67"/>
  <c r="T36"/>
  <c r="T49"/>
  <c r="T54"/>
  <c r="T19"/>
  <c r="T96"/>
  <c r="T72"/>
  <c r="T64"/>
  <c r="T22"/>
  <c r="T106"/>
  <c r="T16"/>
  <c r="T34"/>
  <c r="T21"/>
  <c r="T43"/>
  <c r="T103"/>
  <c r="T118"/>
  <c r="T84"/>
  <c r="T46"/>
  <c r="T12"/>
  <c r="T91"/>
  <c r="T63"/>
  <c r="T82"/>
  <c r="T6"/>
  <c r="T35"/>
  <c r="T8"/>
  <c r="T45"/>
  <c r="T20"/>
  <c r="T71"/>
  <c r="T90"/>
  <c r="T13"/>
  <c r="T70"/>
  <c r="T92"/>
  <c r="T112"/>
  <c r="T14"/>
  <c r="T23"/>
  <c r="T95"/>
  <c r="T47"/>
  <c r="T53"/>
  <c r="T93"/>
  <c r="T24"/>
  <c r="T65"/>
  <c r="T66"/>
  <c r="T9"/>
  <c r="T33"/>
  <c r="T88"/>
  <c r="T81"/>
  <c r="T119"/>
  <c r="T25"/>
  <c r="V25"/>
  <c r="V110"/>
  <c r="V20"/>
  <c r="V71"/>
  <c r="V16"/>
  <c r="V55"/>
  <c r="V117"/>
  <c r="V70"/>
  <c r="V46"/>
  <c r="V44"/>
  <c r="V114"/>
  <c r="V48"/>
  <c r="V21"/>
  <c r="V36"/>
  <c r="V35"/>
  <c r="V115"/>
  <c r="V66"/>
  <c r="V80"/>
  <c r="V89"/>
  <c r="V33"/>
  <c r="V116"/>
  <c r="V112"/>
  <c r="V85"/>
  <c r="V92"/>
  <c r="V32"/>
  <c r="V54"/>
  <c r="V12"/>
  <c r="V90"/>
  <c r="V119"/>
  <c r="V22"/>
  <c r="V81"/>
  <c r="V64"/>
  <c r="V103"/>
  <c r="V84"/>
  <c r="V69"/>
  <c r="V94"/>
  <c r="V96"/>
  <c r="V14"/>
  <c r="V67"/>
  <c r="V17"/>
  <c r="V111"/>
  <c r="H11" i="16" l="1"/>
  <c r="G11"/>
  <c r="J11"/>
  <c r="H100" i="18" l="1"/>
  <c r="H98"/>
  <c r="H18"/>
  <c r="H68"/>
  <c r="H79"/>
  <c r="H45"/>
  <c r="H67"/>
  <c r="H54"/>
  <c r="H22"/>
  <c r="H117"/>
  <c r="H73"/>
  <c r="H20"/>
  <c r="H72"/>
  <c r="H52"/>
  <c r="H112"/>
  <c r="H90"/>
  <c r="H69"/>
  <c r="H51"/>
  <c r="H23"/>
  <c r="H103"/>
  <c r="H17"/>
  <c r="H63"/>
  <c r="H105"/>
  <c r="H92"/>
  <c r="H107"/>
  <c r="H89"/>
  <c r="H19"/>
  <c r="H47"/>
  <c r="H49"/>
  <c r="H34"/>
  <c r="H76"/>
  <c r="H14"/>
  <c r="H70"/>
  <c r="H58"/>
  <c r="H6"/>
  <c r="H85"/>
  <c r="H99"/>
  <c r="H111"/>
  <c r="H61"/>
  <c r="H64"/>
  <c r="H36"/>
  <c r="H13"/>
  <c r="H48"/>
  <c r="H7"/>
  <c r="H86"/>
  <c r="H32"/>
  <c r="H91"/>
  <c r="H16"/>
  <c r="H43"/>
  <c r="H44"/>
  <c r="H81"/>
  <c r="H96"/>
  <c r="H119"/>
  <c r="H55"/>
  <c r="H84"/>
  <c r="H87"/>
  <c r="H59"/>
  <c r="H116"/>
  <c r="H104"/>
  <c r="H50"/>
  <c r="H115"/>
  <c r="H53"/>
  <c r="H95"/>
  <c r="H114"/>
  <c r="H66"/>
  <c r="H108"/>
  <c r="H33"/>
  <c r="H10"/>
  <c r="H71"/>
  <c r="H8"/>
  <c r="H21"/>
  <c r="H46"/>
  <c r="H57"/>
  <c r="H113"/>
  <c r="H106"/>
  <c r="H80"/>
  <c r="H15"/>
  <c r="H60"/>
  <c r="H24"/>
  <c r="H110"/>
  <c r="H83"/>
  <c r="H97"/>
  <c r="H118"/>
  <c r="H88"/>
  <c r="H9"/>
  <c r="H82"/>
  <c r="H35"/>
  <c r="H93"/>
  <c r="H12"/>
  <c r="H56"/>
  <c r="H94"/>
  <c r="H25"/>
  <c r="H65"/>
  <c r="H11"/>
  <c r="J55"/>
  <c r="J13"/>
  <c r="J119"/>
  <c r="J57"/>
  <c r="J53"/>
  <c r="J116"/>
  <c r="J73"/>
  <c r="J26"/>
  <c r="J84"/>
  <c r="J68"/>
  <c r="J33"/>
  <c r="J115"/>
  <c r="J112"/>
  <c r="J80"/>
  <c r="J69"/>
  <c r="J7"/>
  <c r="J56"/>
  <c r="J46"/>
  <c r="J14"/>
  <c r="J10"/>
  <c r="J88"/>
  <c r="J114"/>
  <c r="J89"/>
  <c r="J24"/>
  <c r="J92"/>
  <c r="J108"/>
  <c r="J71"/>
  <c r="J44"/>
  <c r="J70"/>
  <c r="J79"/>
  <c r="J48"/>
  <c r="J67"/>
  <c r="J19"/>
  <c r="J103"/>
  <c r="J21"/>
  <c r="J104"/>
  <c r="J81"/>
  <c r="J76"/>
  <c r="J40"/>
  <c r="J66"/>
  <c r="J82"/>
  <c r="J16"/>
  <c r="J94"/>
  <c r="J105"/>
  <c r="J47"/>
  <c r="J11"/>
  <c r="J32"/>
  <c r="J86"/>
  <c r="J87"/>
  <c r="J45"/>
  <c r="J22"/>
  <c r="J83"/>
  <c r="J63"/>
  <c r="J17"/>
  <c r="J18"/>
  <c r="J90"/>
  <c r="J117"/>
  <c r="J51"/>
  <c r="J106"/>
  <c r="J50"/>
  <c r="J34"/>
  <c r="J113"/>
  <c r="J35"/>
  <c r="J91"/>
  <c r="J96"/>
  <c r="J6"/>
  <c r="J36"/>
  <c r="J49"/>
  <c r="J72"/>
  <c r="J43"/>
  <c r="J85"/>
  <c r="J20"/>
  <c r="J9"/>
  <c r="J15"/>
  <c r="J25"/>
  <c r="J110"/>
  <c r="J52"/>
  <c r="J54"/>
  <c r="J111"/>
  <c r="J95"/>
  <c r="J23"/>
  <c r="J65"/>
  <c r="J93"/>
  <c r="J118"/>
  <c r="J64"/>
  <c r="J12"/>
  <c r="J8"/>
  <c r="J37"/>
  <c r="N104"/>
  <c r="N116"/>
  <c r="N112"/>
  <c r="N22"/>
  <c r="N70"/>
  <c r="N91"/>
  <c r="N87"/>
  <c r="N79"/>
  <c r="N80"/>
  <c r="N69"/>
  <c r="N52"/>
  <c r="N44"/>
  <c r="N93"/>
  <c r="N85"/>
  <c r="N21"/>
  <c r="N81"/>
  <c r="N71"/>
  <c r="N50"/>
  <c r="N40"/>
  <c r="N12"/>
  <c r="N114"/>
  <c r="N115"/>
  <c r="N84"/>
  <c r="N117"/>
  <c r="N113"/>
  <c r="N90"/>
  <c r="N119"/>
  <c r="N26"/>
  <c r="N95"/>
  <c r="N24"/>
  <c r="N64"/>
  <c r="N94"/>
  <c r="N43"/>
  <c r="N110"/>
  <c r="N46"/>
  <c r="N11"/>
  <c r="N36"/>
  <c r="N56"/>
  <c r="N63"/>
  <c r="N89"/>
  <c r="N54"/>
  <c r="N16"/>
  <c r="N111"/>
  <c r="N82"/>
  <c r="N34"/>
  <c r="N25"/>
  <c r="N17"/>
  <c r="N18"/>
  <c r="N13"/>
  <c r="N88"/>
  <c r="N67"/>
  <c r="N66"/>
  <c r="N57"/>
  <c r="N49"/>
  <c r="N68"/>
  <c r="N45"/>
  <c r="N20"/>
  <c r="N55"/>
  <c r="N118"/>
  <c r="N97"/>
  <c r="N7"/>
  <c r="N72"/>
  <c r="N92"/>
  <c r="N35"/>
  <c r="N96"/>
  <c r="N105"/>
  <c r="N9"/>
  <c r="N51"/>
  <c r="N47"/>
  <c r="N10"/>
  <c r="N6"/>
  <c r="N65"/>
  <c r="N48"/>
  <c r="N37"/>
  <c r="N83"/>
  <c r="N33"/>
  <c r="N8"/>
  <c r="N103"/>
  <c r="N86"/>
  <c r="N53"/>
  <c r="N32"/>
  <c r="N23"/>
  <c r="N19"/>
  <c r="N14"/>
  <c r="N15"/>
  <c r="J18" i="16" l="1"/>
  <c r="G58"/>
  <c r="P50"/>
  <c r="G56"/>
  <c r="J56"/>
  <c r="V50"/>
  <c r="G118"/>
  <c r="V86"/>
  <c r="S58"/>
  <c r="V65"/>
  <c r="M25"/>
  <c r="M76"/>
  <c r="P25"/>
  <c r="V66"/>
  <c r="G96"/>
  <c r="G110"/>
  <c r="V122"/>
  <c r="V106"/>
  <c r="M81"/>
  <c r="P115"/>
  <c r="G115"/>
  <c r="V61"/>
  <c r="S80"/>
  <c r="S86"/>
  <c r="M63"/>
  <c r="P57"/>
  <c r="M49"/>
  <c r="V49"/>
  <c r="P76"/>
  <c r="P75"/>
  <c r="V64"/>
  <c r="S96"/>
  <c r="M67"/>
  <c r="G111"/>
  <c r="M50"/>
  <c r="V54"/>
  <c r="V28"/>
  <c r="S121"/>
  <c r="P102"/>
  <c r="V59"/>
  <c r="G78"/>
  <c r="P78"/>
  <c r="V88"/>
  <c r="M62"/>
  <c r="G97"/>
  <c r="J78"/>
  <c r="J61"/>
  <c r="P59"/>
  <c r="S61"/>
  <c r="S29"/>
  <c r="P60"/>
  <c r="S124"/>
  <c r="M57"/>
  <c r="S119"/>
  <c r="V81"/>
  <c r="S54"/>
  <c r="M86"/>
  <c r="G18"/>
  <c r="V113"/>
  <c r="S60"/>
  <c r="S95"/>
  <c r="S120"/>
  <c r="P67"/>
  <c r="J95"/>
  <c r="J81"/>
  <c r="P106"/>
  <c r="J100"/>
  <c r="V67"/>
  <c r="M61"/>
  <c r="J54"/>
  <c r="J49"/>
  <c r="S115"/>
  <c r="J66"/>
  <c r="V76"/>
  <c r="G48"/>
  <c r="G117"/>
  <c r="M100"/>
  <c r="V78"/>
  <c r="G59"/>
  <c r="M97"/>
  <c r="J62"/>
  <c r="P89"/>
  <c r="V60"/>
  <c r="G49"/>
  <c r="G112"/>
  <c r="G88"/>
  <c r="S103"/>
  <c r="P52"/>
  <c r="V124"/>
  <c r="J97"/>
  <c r="S76"/>
  <c r="V96"/>
  <c r="S98"/>
  <c r="G106"/>
  <c r="S111"/>
  <c r="J57"/>
  <c r="M75"/>
  <c r="P103"/>
  <c r="P114"/>
  <c r="V93"/>
  <c r="S116"/>
  <c r="S62"/>
  <c r="P62"/>
  <c r="G25"/>
  <c r="M106"/>
  <c r="G61"/>
  <c r="V52"/>
  <c r="V29"/>
  <c r="M59"/>
  <c r="M102"/>
  <c r="V62"/>
  <c r="J59"/>
  <c r="J26"/>
  <c r="V77"/>
  <c r="S75"/>
  <c r="V48"/>
  <c r="J80"/>
  <c r="J70"/>
  <c r="M121"/>
  <c r="P120"/>
  <c r="P64"/>
  <c r="M60"/>
  <c r="V95"/>
  <c r="S26"/>
  <c r="P30"/>
  <c r="V70"/>
  <c r="V57"/>
  <c r="J71"/>
  <c r="V125"/>
  <c r="V103"/>
  <c r="P66"/>
  <c r="V56"/>
  <c r="P58"/>
  <c r="J77"/>
  <c r="P56"/>
  <c r="V110"/>
  <c r="M32"/>
  <c r="P77"/>
  <c r="S105"/>
  <c r="G123"/>
  <c r="S48"/>
  <c r="P61"/>
  <c r="P105"/>
  <c r="P98"/>
  <c r="G105"/>
  <c r="M71"/>
  <c r="J116"/>
  <c r="G81"/>
  <c r="G29"/>
  <c r="V24"/>
  <c r="S89"/>
  <c r="M120"/>
  <c r="J106"/>
  <c r="J102"/>
  <c r="S81"/>
  <c r="S117"/>
  <c r="V75"/>
  <c r="G24"/>
  <c r="V63"/>
  <c r="G75"/>
  <c r="V97"/>
  <c r="G120"/>
  <c r="G102"/>
  <c r="M48"/>
  <c r="G100"/>
  <c r="S56"/>
  <c r="S113"/>
  <c r="P81"/>
  <c r="M116"/>
  <c r="V30"/>
  <c r="J120"/>
  <c r="M98"/>
  <c r="G95"/>
  <c r="J76"/>
  <c r="M115"/>
  <c r="P32"/>
  <c r="V102"/>
  <c r="G121"/>
  <c r="G54"/>
  <c r="G66"/>
  <c r="P95"/>
  <c r="G98"/>
  <c r="V123"/>
  <c r="G62"/>
  <c r="M88"/>
  <c r="V120"/>
  <c r="J121"/>
  <c r="P88"/>
  <c r="M18"/>
  <c r="M64"/>
  <c r="S102"/>
  <c r="G103"/>
  <c r="M78"/>
  <c r="S123"/>
  <c r="S77"/>
  <c r="J88"/>
  <c r="S106"/>
  <c r="P63"/>
  <c r="J48"/>
  <c r="P24"/>
  <c r="M58"/>
  <c r="M26"/>
  <c r="J115"/>
  <c r="V25"/>
  <c r="S97"/>
  <c r="M66"/>
  <c r="S100"/>
  <c r="P29"/>
  <c r="V114"/>
  <c r="S78"/>
  <c r="V98"/>
  <c r="J24"/>
  <c r="S125"/>
  <c r="V32"/>
  <c r="J103"/>
  <c r="S49"/>
  <c r="P96"/>
  <c r="M65"/>
  <c r="V80"/>
  <c r="P28"/>
  <c r="G86"/>
  <c r="V71"/>
  <c r="M24"/>
  <c r="M70"/>
  <c r="G60"/>
  <c r="P71"/>
  <c r="M28"/>
  <c r="P86"/>
  <c r="J96"/>
  <c r="P80"/>
  <c r="M105"/>
  <c r="P65"/>
  <c r="V116"/>
  <c r="S110"/>
  <c r="V126"/>
  <c r="P121"/>
  <c r="S24"/>
  <c r="P26"/>
  <c r="G116"/>
  <c r="J89"/>
  <c r="G114"/>
  <c r="G77"/>
  <c r="P100"/>
  <c r="G57"/>
  <c r="J60"/>
  <c r="M89"/>
  <c r="P70"/>
  <c r="V100"/>
  <c r="G119"/>
  <c r="M29"/>
  <c r="P97"/>
  <c r="J114"/>
  <c r="P48"/>
  <c r="S112"/>
  <c r="M95"/>
  <c r="J58"/>
  <c r="V121"/>
  <c r="S59"/>
  <c r="M56"/>
  <c r="V26"/>
  <c r="J25"/>
  <c r="J98"/>
  <c r="J105"/>
  <c r="P49"/>
  <c r="G80"/>
  <c r="M52"/>
  <c r="G113"/>
  <c r="M80"/>
  <c r="G89"/>
  <c r="P54"/>
  <c r="S25"/>
  <c r="J86"/>
  <c r="V119"/>
  <c r="J75"/>
  <c r="S57"/>
  <c r="G76"/>
  <c r="S66"/>
  <c r="M103"/>
  <c r="S114"/>
  <c r="V105"/>
  <c r="P116"/>
  <c r="S122"/>
  <c r="M54"/>
  <c r="M77"/>
  <c r="V112"/>
  <c r="M96"/>
  <c r="M114"/>
  <c r="G122"/>
  <c r="V117"/>
  <c r="M30"/>
  <c r="V111"/>
  <c r="V118"/>
  <c r="V58"/>
  <c r="G26"/>
  <c r="S118"/>
  <c r="P18"/>
  <c r="M127" l="1"/>
  <c r="P127"/>
  <c r="V107"/>
  <c r="P107"/>
  <c r="J127"/>
  <c r="J107"/>
  <c r="V127"/>
  <c r="G127"/>
  <c r="S127"/>
  <c r="G107"/>
  <c r="S107"/>
  <c r="M107"/>
  <c r="V128" l="1"/>
  <c r="N12" s="1"/>
  <c r="M128"/>
  <c r="I12" s="1"/>
  <c r="P128"/>
  <c r="J12" s="1"/>
  <c r="Q3" i="14"/>
  <c r="Q4" s="1"/>
  <c r="G128" i="16"/>
  <c r="G12" s="1"/>
  <c r="S128"/>
  <c r="M12" s="1"/>
  <c r="J128"/>
  <c r="H12" s="1"/>
  <c r="O12" l="1"/>
  <c r="O13" s="1"/>
</calcChain>
</file>

<file path=xl/comments1.xml><?xml version="1.0" encoding="utf-8"?>
<comments xmlns="http://schemas.openxmlformats.org/spreadsheetml/2006/main">
  <authors>
    <author>AT</author>
  </authors>
  <commentList>
    <comment ref="G6" authorId="0">
      <text>
        <r>
          <rPr>
            <sz val="9"/>
            <color indexed="81"/>
            <rFont val="Tahoma"/>
            <family val="2"/>
          </rPr>
          <t xml:space="preserve">Solo le celle di colore azzurro sono modificabili;
Importi e ID opere
</t>
        </r>
      </text>
    </comment>
    <comment ref="G8" authorId="0">
      <text>
        <r>
          <rPr>
            <sz val="9"/>
            <color indexed="81"/>
            <rFont val="Tahoma"/>
            <family val="2"/>
          </rPr>
          <t xml:space="preserve">Inserire ID come da foglio "Tab. coeff. ID" </t>
        </r>
        <r>
          <rPr>
            <b/>
            <sz val="9"/>
            <color indexed="10"/>
            <rFont val="Tahoma"/>
            <family val="2"/>
          </rPr>
          <t>da cui dipende il grado di difficoltà.</t>
        </r>
        <r>
          <rPr>
            <sz val="9"/>
            <color indexed="81"/>
            <rFont val="Tahoma"/>
            <family val="2"/>
          </rPr>
          <t xml:space="preserve">
</t>
        </r>
      </text>
    </comment>
    <comment ref="G10" authorId="0">
      <text>
        <r>
          <rPr>
            <sz val="9"/>
            <color indexed="81"/>
            <rFont val="Tahoma"/>
            <family val="2"/>
          </rPr>
          <t>Inserire parametro come da foglio "Tab. coeff. ID"</t>
        </r>
        <r>
          <rPr>
            <b/>
            <sz val="9"/>
            <color indexed="10"/>
            <rFont val="Tahoma"/>
            <family val="2"/>
          </rPr>
          <t xml:space="preserve"> in riferimento al Titolo abilitativo previsto</t>
        </r>
      </text>
    </comment>
    <comment ref="E17" authorId="0">
      <text>
        <r>
          <rPr>
            <sz val="9"/>
            <color indexed="81"/>
            <rFont val="Tahoma"/>
            <family val="2"/>
          </rPr>
          <t>Per la scelta della prestazione inserire "X" .</t>
        </r>
        <r>
          <rPr>
            <b/>
            <sz val="9"/>
            <color indexed="10"/>
            <rFont val="Tahoma"/>
            <family val="2"/>
          </rPr>
          <t xml:space="preserve"> Eliminare la selezione in caso di prestaziome o categoria non utilizzata, qiest'ultime influiranno comunque sul calcolo</t>
        </r>
      </text>
    </comment>
    <comment ref="F17" authorId="0">
      <text>
        <r>
          <rPr>
            <sz val="9"/>
            <color indexed="81"/>
            <rFont val="Tahoma"/>
            <family val="2"/>
          </rPr>
          <t>Indicare la q.ta delle prestazioni. La stessa può essere maggiore di 1 solo in caso di prestazioni effettivamente non collegate ed entrambe incluse nella descrizione</t>
        </r>
      </text>
    </comment>
    <comment ref="D18" authorId="0">
      <text>
        <r>
          <rPr>
            <sz val="9"/>
            <color indexed="81"/>
            <rFont val="Tahoma"/>
            <family val="2"/>
          </rPr>
          <t xml:space="preserve">In caso di selezione della prestazione le celle diverranno di colore arancione
</t>
        </r>
      </text>
    </comment>
  </commentList>
</comments>
</file>

<file path=xl/comments2.xml><?xml version="1.0" encoding="utf-8"?>
<comments xmlns="http://schemas.openxmlformats.org/spreadsheetml/2006/main">
  <authors>
    <author>AT</author>
  </authors>
  <commentList>
    <comment ref="A3" authorId="0">
      <text>
        <r>
          <rPr>
            <sz val="9"/>
            <color indexed="81"/>
            <rFont val="Tahoma"/>
            <family val="2"/>
          </rPr>
          <t xml:space="preserve">Solo le celle di colore azzurro sono modificabili;
Importi e ID opere
</t>
        </r>
      </text>
    </comment>
    <comment ref="D7" authorId="0">
      <text>
        <r>
          <rPr>
            <sz val="9"/>
            <color indexed="81"/>
            <rFont val="Tahoma"/>
            <family val="2"/>
          </rPr>
          <t xml:space="preserve">Per la scelta della prestazione inserire "X" </t>
        </r>
      </text>
    </comment>
    <comment ref="G9" authorId="0">
      <text>
        <r>
          <rPr>
            <sz val="9"/>
            <color indexed="81"/>
            <rFont val="Tahoma"/>
            <family val="2"/>
          </rPr>
          <t>Coefficiente variabile nell'ambito della fascia economica inversamente proporzionale al coeff. " P" del D.M.</t>
        </r>
        <r>
          <rPr>
            <sz val="9"/>
            <color indexed="81"/>
            <rFont val="Tahoma"/>
            <charset val="1"/>
          </rPr>
          <t xml:space="preserve">
</t>
        </r>
      </text>
    </comment>
  </commentList>
</comments>
</file>

<file path=xl/comments3.xml><?xml version="1.0" encoding="utf-8"?>
<comments xmlns="http://schemas.openxmlformats.org/spreadsheetml/2006/main">
  <authors>
    <author>AT</author>
  </authors>
  <commentList>
    <comment ref="M7" authorId="0">
      <text>
        <r>
          <rPr>
            <sz val="9"/>
            <color indexed="81"/>
            <rFont val="Tahoma"/>
            <family val="2"/>
          </rPr>
          <t>Coefficiente variante nel'ambito dellaa fascia economica</t>
        </r>
      </text>
    </comment>
  </commentList>
</comments>
</file>

<file path=xl/comments4.xml><?xml version="1.0" encoding="utf-8"?>
<comments xmlns="http://schemas.openxmlformats.org/spreadsheetml/2006/main">
  <authors>
    <author>AT</author>
  </authors>
  <commentList>
    <comment ref="T12" authorId="0">
      <text>
        <r>
          <rPr>
            <sz val="8"/>
            <color indexed="81"/>
            <rFont val="Tahoma"/>
            <family val="2"/>
          </rPr>
          <t>Il calcolo per queste prestazioni in carattere arancione in caso di assenza di prestazioni nell'Ambito Edilizia avranno un coefficiente di riduzione PSR ridotto del 43%</t>
        </r>
      </text>
    </comment>
    <comment ref="H128" authorId="0">
      <text>
        <r>
          <rPr>
            <sz val="8"/>
            <color indexed="81"/>
            <rFont val="Tahoma"/>
            <family val="2"/>
          </rPr>
          <t>Il calcolo per queste prestazioni in carattere rosso non tiene conto del coeff. Di riduzione PSR, ma è calcolata secondo DM assumendo sempre "G"= 0,85 ed una riduzione del 8,5%</t>
        </r>
      </text>
    </comment>
  </commentList>
</comments>
</file>

<file path=xl/sharedStrings.xml><?xml version="1.0" encoding="utf-8"?>
<sst xmlns="http://schemas.openxmlformats.org/spreadsheetml/2006/main" count="886" uniqueCount="390">
  <si>
    <t>CATEGORIA</t>
  </si>
  <si>
    <t>DESTINAZIONE FUNZIONALE</t>
  </si>
  <si>
    <t>ID.Opere</t>
  </si>
  <si>
    <t>IDENTIFICAZIONE DELLE OPERE</t>
  </si>
  <si>
    <t>STRUTTURE</t>
  </si>
  <si>
    <t>Strutture, Opere infrastrutturali puntuali, non soggette ad azioni sismiche, ai sensi delle Norme Tecniche per le Costruzioni</t>
  </si>
  <si>
    <t>S.01</t>
  </si>
  <si>
    <t>S.02</t>
  </si>
  <si>
    <t>Strutture, Opere infrastrutturali puntuali</t>
  </si>
  <si>
    <t>S.03</t>
  </si>
  <si>
    <t>Strutture o parti di strutture in cemento armato - Verifiche strutturali relative - Ponteggi, centinature e strutture provvisionali di durata superiore a due anni.</t>
  </si>
  <si>
    <t>IMPIANTI</t>
  </si>
  <si>
    <t>Impianti meccanici a fluido a servizio delle costruzioni</t>
  </si>
  <si>
    <t>Impianti di riscaldamento - Impianto di raffrescamento, climatizzazione, trattamento dell’aria - Impianti meccanici di distribuzione fluidi - Impianto solare termico</t>
  </si>
  <si>
    <t>Impianti elettrici e speciali a servizio delle costruzioni - Singole apparecchiature per laboratori e impianti pilota</t>
  </si>
  <si>
    <t>Impianti elettrici in genere, impianti di illuminazione, telefonici, di sicurezza , di rivelazione incendi , fotovoltaici, a corredo di edifici e costruzioni complessi - cablaggi strutturati - impianti in fibra ottica - singole apparecchiature per laboratori e impianti pilota di tipo complesso</t>
  </si>
  <si>
    <t>Manutenzione</t>
  </si>
  <si>
    <t>V.01</t>
  </si>
  <si>
    <t>Interventi di manutenzione su viabilità ordinaria</t>
  </si>
  <si>
    <t>IDRAULICA</t>
  </si>
  <si>
    <t>D.01</t>
  </si>
  <si>
    <t>Opere di bonifica e derivazioni</t>
  </si>
  <si>
    <t>D.02</t>
  </si>
  <si>
    <t>Bonifiche ed irrigazioni a deflusso naturale, sistemazione di corsi d'acqua e di bacini montani</t>
  </si>
  <si>
    <t>Bonifiche ed irrigazioni con sollevamento meccanico di acqua (esclusi i macchinari) - Derivazioni d'acqua per forza motrice e produzione di energia elettrica.</t>
  </si>
  <si>
    <t>Acquedotti e fognature</t>
  </si>
  <si>
    <t>Impianti per provvista, condotta, distribuzione d'acqua, improntate a grande semplicità - Fognature urbane improntate a grande semplicità - Condotte subacquee in genere, metanodotti e  gasdotti, di tipo ordinario</t>
  </si>
  <si>
    <t>Sistemi informativi</t>
  </si>
  <si>
    <t>T.01</t>
  </si>
  <si>
    <t>Sistemi informativi, gestione elettronica del flusso documentale, dematerializzazione e gestione archivi, ingegnerizzazione dei processi, sistemi di gestione delle attività produttive, Data center, server farm.</t>
  </si>
  <si>
    <t>Interventi di sistemazione naturalistica o paesaggistica</t>
  </si>
  <si>
    <t>P.01</t>
  </si>
  <si>
    <t>Opere relative alla sistemazione di ecosistemi naturali o naturalizzati, alle aree naturali protette ed alle aree a rilevanza faunistica. Opere relative al restauro paesaggistico di territori compromessi ed agli interventi su elementi strutturali  del paesaggio. Opere di configurazione di assetto paesaggistico.</t>
  </si>
  <si>
    <t>Interventi del verde e opere per attività ricreativa o sportiva</t>
  </si>
  <si>
    <t>P.02</t>
  </si>
  <si>
    <t>Opere a verde sia su piccola scala o grande scala dove la rilevanza dell’opera è prevalente rispetto alle opere di tipo costruttivo.</t>
  </si>
  <si>
    <t>Interventi recupero, riqualificazione ambientale</t>
  </si>
  <si>
    <t>P.03</t>
  </si>
  <si>
    <t>Opere di riqualificazione e risanamento di ambiti naturali, rurali e forestali o urbani finalizzati al ripristino delle condizioni originarie, al riassetto delle componenti  biotiche ed abiotiche.</t>
  </si>
  <si>
    <t>U.01</t>
  </si>
  <si>
    <t>Opere ed infrastrutture complesse, anche a carattere immateriale, volte a migliorare l’assetto del territorio rurale per favorire lo sviluppo dei processi agricoli e zootecnici. Opere e strutture per la valorizzazione delle filiere (produzione, trasformazione e commercializzazione delle produzioni agricole e agroalimentari)</t>
  </si>
  <si>
    <t>EDILIZIA</t>
  </si>
  <si>
    <t>Insediamenti Produttivi Agricoltura-Industria- Artigianato</t>
  </si>
  <si>
    <t>E.01</t>
  </si>
  <si>
    <t>E.02</t>
  </si>
  <si>
    <t>E.03</t>
  </si>
  <si>
    <t>E.04</t>
  </si>
  <si>
    <t>Arredi, Forniture, Aree esterne pertinenziali allestite</t>
  </si>
  <si>
    <t>Edifici e manufatti esistenti</t>
  </si>
  <si>
    <t>TECNOLOGIE DELLA INFORMAZIONE E DELLA COMUNICAZIONE</t>
  </si>
  <si>
    <t>TAVOLA Z-1 “CATEGORIE DELLE OPERE - PARAMETRO DEL GRADO DI COMPLESSITA’ – CLASSIFICAZIONE DEI SERVIZI ”</t>
  </si>
  <si>
    <t>TERRITORIO E URBANISTICA</t>
  </si>
  <si>
    <t>#</t>
  </si>
  <si>
    <t>Interventi per la valorizzazione delle filiere produttive agroalimentari e zootecniche; interventi di controllo – vigilanza alimentare</t>
  </si>
  <si>
    <t>Interventi di miglioramento fondiario agrario e rurale; interventi di pianificazione alimentare</t>
  </si>
  <si>
    <t>Impianti industriali - Impianti pilota e impianti di depurazione con ridotte problematiche tecniche - Discariche inerti</t>
  </si>
  <si>
    <t>Edifici rurali per l'attività agricola con corredi tecnici di tipo semplice (quali tettoie, depositi e ricoveri) - Edifici industriali o artigianali di importanza costruttiva corrente con corredi tecnici di base.</t>
  </si>
  <si>
    <t>Verde ed opere di arredo urbano improntate a grande semplicità, pertinenziali agli edifici ed alla viabilità, Campeggi e simili</t>
  </si>
  <si>
    <t>Impianti  per l'approvvigionamento, la preparazione e la distribuzione di acqua nell'interno di edifici o per scopi industriali - Impianti sanitari - Impianti di fognatura domestica od industriale ed opere relative al trattamento delle acque di rifiuto - Reti di distribuzione di combustibili liquidi o gassosi - Impianti per la distribuzione dell’aria compressa del vuoto e di gas medicali - Impianti e reti antincendio</t>
  </si>
  <si>
    <t>FASI PRESTAZIONALI</t>
  </si>
  <si>
    <t>DESCRIZIONE SINGOLE PRESTAZIONI</t>
  </si>
  <si>
    <t>CATEGORIE</t>
  </si>
  <si>
    <t>Fino a</t>
  </si>
  <si>
    <t>Sull’eccedenza</t>
  </si>
  <si>
    <t>QaI.01</t>
  </si>
  <si>
    <t>Relazione illustrativa</t>
  </si>
  <si>
    <t>QaI.02</t>
  </si>
  <si>
    <t>Relazione illustrativa, Elaborati progettuali e tecnico economici</t>
  </si>
  <si>
    <t>QaI.03</t>
  </si>
  <si>
    <t>Supporto al RUP: accertamenti e verifiche preliminari</t>
  </si>
  <si>
    <t>QaII.01</t>
  </si>
  <si>
    <t>QaII.02</t>
  </si>
  <si>
    <t>QaII.03</t>
  </si>
  <si>
    <t>a.III) RILIEVI STUDI ED ANALISI</t>
  </si>
  <si>
    <t>QaIII.01</t>
  </si>
  <si>
    <t>QaIII.02</t>
  </si>
  <si>
    <t>QaIII.03</t>
  </si>
  <si>
    <t>QaIV.01</t>
  </si>
  <si>
    <t>Piani economici, aziendali, business plan e di investimento</t>
  </si>
  <si>
    <t>Edifici rurali per l'attività agricola con corredi tecnici di tipo complesso - Edifici industriali o artigianali con organizzazione e corredi tecnici di tipo complesso.</t>
  </si>
  <si>
    <t>a.I) STUDI DI FATTIBILITÀ</t>
  </si>
  <si>
    <t>a.II) STIME E VALUTAZIONI</t>
  </si>
  <si>
    <t>a.IV) PIANI ECONOMICI</t>
  </si>
  <si>
    <t>ATTIVITÀ PROPEDEUTICHE ALLA PROGETTAZIONE</t>
  </si>
  <si>
    <t>Sull’eccedenza fino a</t>
  </si>
  <si>
    <t>Sintetiche, basate su elementi sintetici e globali, vani, metri cubi, etc. (d.P.R. 327/2001)</t>
  </si>
  <si>
    <t>Particolareggiate, complete di criteri di valutazione, relazione motivata, descrizioni, computi e tipi (d.P.R. 327/2001)</t>
  </si>
  <si>
    <t>Analitiche, integrate con specifiche e distinte, sullo stato e valore dei singoli componenti  (d.P.R. 327/2001)</t>
  </si>
  <si>
    <t>Rilievo botanico e analisi vegetazionali dei popolamenti erbacei ed arborei ed animali (d.Lgs 152/2006 – All.VI-VII)</t>
  </si>
  <si>
    <t>VIABILITÀ</t>
  </si>
  <si>
    <t>Progettazione</t>
  </si>
  <si>
    <t>b.I) PROGETTAZIONE PRELIMINARE</t>
  </si>
  <si>
    <t>QbI.01</t>
  </si>
  <si>
    <t>Relazioni, planimetrie, elaborati grafici</t>
  </si>
  <si>
    <t>QbI.02</t>
  </si>
  <si>
    <t>Calcolo sommario spesa, quadro economico di progetto</t>
  </si>
  <si>
    <t>QbI.03</t>
  </si>
  <si>
    <t>Piano particellare preliminare delle aree o rilievo di massima degli immobili</t>
  </si>
  <si>
    <t>QbI.04</t>
  </si>
  <si>
    <t>QbI.05</t>
  </si>
  <si>
    <t>QbI.06</t>
  </si>
  <si>
    <t>Relazione geotecnica</t>
  </si>
  <si>
    <t>QbI.07</t>
  </si>
  <si>
    <t>Relazione idrologica</t>
  </si>
  <si>
    <t>QbI.08</t>
  </si>
  <si>
    <t>Relazione idraulica</t>
  </si>
  <si>
    <t>QbI.09</t>
  </si>
  <si>
    <t>Relazione sismica e sulle strutture</t>
  </si>
  <si>
    <t>QbI.10</t>
  </si>
  <si>
    <t>Relazione archeologica</t>
  </si>
  <si>
    <t>QbI.11</t>
  </si>
  <si>
    <t>QbI.12</t>
  </si>
  <si>
    <t>QbI.13</t>
  </si>
  <si>
    <t>Studio di inserimento urbanistico</t>
  </si>
  <si>
    <t>QbI.14</t>
  </si>
  <si>
    <t>QbI.15</t>
  </si>
  <si>
    <t>Prime indicazioni di progettazione antincendio (d.m. 6/02/1982)</t>
  </si>
  <si>
    <t>QbI.16</t>
  </si>
  <si>
    <t>Prime indicazioni e prescrizioni per la stesura dei Piani di Sicurezza</t>
  </si>
  <si>
    <t>QbI.17</t>
  </si>
  <si>
    <t>Studi di prefattibilità ambientale</t>
  </si>
  <si>
    <t>QbI.18</t>
  </si>
  <si>
    <t>Piano di monitoraggio ambientale</t>
  </si>
  <si>
    <t>QbI.19</t>
  </si>
  <si>
    <t>Supporto al RUP: supervisione e coordinamento della progettazione preliminare</t>
  </si>
  <si>
    <t>QbI.20</t>
  </si>
  <si>
    <t>Supporto al RUP: verifica della progettazione preliminare</t>
  </si>
  <si>
    <r>
      <rPr>
        <sz val="8"/>
        <rFont val="Calibri"/>
        <family val="2"/>
        <scheme val="minor"/>
      </rPr>
      <t>Progettazione integrale e coordinata - Integrazione delle prestazioni
specialistiche</t>
    </r>
  </si>
  <si>
    <t>b.II) PROGETTAZIONE DEFINITIVA</t>
  </si>
  <si>
    <t>QbII.01</t>
  </si>
  <si>
    <t>Relazioni generale e tecniche, Elaborati grafici, Calcolo delle strutture e degli impianti, eventuali Relazione sulla risoluzione delle interferenze e Relazione sulla gestione materie</t>
  </si>
  <si>
    <t>QbII.02</t>
  </si>
  <si>
    <t>Rilievi dei manufatti</t>
  </si>
  <si>
    <t>QbII.03</t>
  </si>
  <si>
    <t>Disciplinare descrittivo e prestazionale</t>
  </si>
  <si>
    <t>QbII.04</t>
  </si>
  <si>
    <t>Piano particellare d’esproprio</t>
  </si>
  <si>
    <t>QbII.05</t>
  </si>
  <si>
    <t>Elenco prezzi unitari ed eventuali analisi, Computo metrico estimativo, Quadro economico</t>
  </si>
  <si>
    <t>QbII.06</t>
  </si>
  <si>
    <t>QbII.07</t>
  </si>
  <si>
    <t>Rilievi planoaltimetrici</t>
  </si>
  <si>
    <t>QbII.08</t>
  </si>
  <si>
    <t>QbII.09</t>
  </si>
  <si>
    <t>QbII.10</t>
  </si>
  <si>
    <t>QbII.11</t>
  </si>
  <si>
    <t>QbII.12</t>
  </si>
  <si>
    <t>QbII.13</t>
  </si>
  <si>
    <t>QbII.14</t>
  </si>
  <si>
    <t>Analisi storico critica e relazione sulle strutture esistenti</t>
  </si>
  <si>
    <t>QbII.15</t>
  </si>
  <si>
    <t>Relazione sulle indagini dei materiali e delle strutture per edifici esistenti</t>
  </si>
  <si>
    <t>QbII.16</t>
  </si>
  <si>
    <t>Verifica sismica delle strutture esistenti e individuazione delle carenze strutturali</t>
  </si>
  <si>
    <t>QbII.17</t>
  </si>
  <si>
    <t>Progettazione integrale e coordinata - Integrazione delle prestazioni specialistiche</t>
  </si>
  <si>
    <t>QbII.18</t>
  </si>
  <si>
    <t>Elaborati di  progettazione antincendio (d.m. 16/02/1982)</t>
  </si>
  <si>
    <t>QbII.19</t>
  </si>
  <si>
    <t>Relazione paesaggistica (d.lgs. 42/2004)</t>
  </si>
  <si>
    <t>QbII.20</t>
  </si>
  <si>
    <t>Elaborati e relazioni per requisiti acustici (Legge 447/95-d.p.c.m. 512/97)</t>
  </si>
  <si>
    <t>QbII.21</t>
  </si>
  <si>
    <t>Relazione energetica (ex Legge 10/91 e s.m.i.)</t>
  </si>
  <si>
    <t>QbII.22</t>
  </si>
  <si>
    <t>QbII.23</t>
  </si>
  <si>
    <t>Aggiornamento delle prime indicazioni e prescrizioni per la redazione del PSC</t>
  </si>
  <si>
    <t>QbII.24</t>
  </si>
  <si>
    <t>QbII.25</t>
  </si>
  <si>
    <t>QbII.26</t>
  </si>
  <si>
    <t>Supporto al RUP: supervisione e coordinamento della prog. def.</t>
  </si>
  <si>
    <t>QbII.27</t>
  </si>
  <si>
    <t>Supporto RUP: verifica della prog. def.</t>
  </si>
  <si>
    <t>b.III) PROGETTAZIONE ESECUTIVA</t>
  </si>
  <si>
    <t>QbIII.01</t>
  </si>
  <si>
    <t>Relazione generale e specialistiche, Elaborati grafici, Calcoli esecutivi</t>
  </si>
  <si>
    <t>QbIII.02</t>
  </si>
  <si>
    <t>Particolari costruttivi e decorativi</t>
  </si>
  <si>
    <t>QbIII.03</t>
  </si>
  <si>
    <t>Computo  metrico  estimativo,  Quadro  economico,  Elenco  prezzi  e  eventuale  analisi,  Quadro dell'incidenza percentuale della quantità di manodopera</t>
  </si>
  <si>
    <t>QbIII.04</t>
  </si>
  <si>
    <t>Schema di contratto, capitolato speciale d'appalto, cronoprogramma</t>
  </si>
  <si>
    <t>QbIII.05</t>
  </si>
  <si>
    <t>Piano di manutenzione dell'opera</t>
  </si>
  <si>
    <t>QbIII.06</t>
  </si>
  <si>
    <t>QbIII.07</t>
  </si>
  <si>
    <t>Piano di Sicurezza e Coordinamento</t>
  </si>
  <si>
    <t>QbIII.08</t>
  </si>
  <si>
    <t>Supporto al RUP: per la supervisione e coordinamento della progettazione esecutiva</t>
  </si>
  <si>
    <t>QbIII.09</t>
  </si>
  <si>
    <t>Supporto al RUP: per la verifica della progettazione esecutiva</t>
  </si>
  <si>
    <t>QbIII.10</t>
  </si>
  <si>
    <t>Supporto al RUP: per la  programmazione e progettazione appalto</t>
  </si>
  <si>
    <t>QbIII.11</t>
  </si>
  <si>
    <t>Supporto al RUP: per la validazione del progetto</t>
  </si>
  <si>
    <t>A</t>
  </si>
  <si>
    <t>B</t>
  </si>
  <si>
    <t>PAESAGGIO, AMBIENTE, NATURALIZZAZIONE, AGROALIMENTARE, ZOOTECNICA, RURALITÀ, FORESTE</t>
  </si>
  <si>
    <t>Direzione dell’esecuzione</t>
  </si>
  <si>
    <t>C.I) ESECUZIONE DEI LAVORI</t>
  </si>
  <si>
    <t>QcI.01</t>
  </si>
  <si>
    <t>Direzione lavori, assistenza al collaudo, prove di accettazione</t>
  </si>
  <si>
    <t>QcI.02</t>
  </si>
  <si>
    <t>QcI.03</t>
  </si>
  <si>
    <t>Controllo aggiornamento elaborati di progetto, aggiornamento dei manuali d'uso e manutenzione</t>
  </si>
  <si>
    <t>QcI.04</t>
  </si>
  <si>
    <t>Coordinamento e supervisione dell'ufficio di direzione lavori</t>
  </si>
  <si>
    <t>QcI.05</t>
  </si>
  <si>
    <t>QcI.05.0 1</t>
  </si>
  <si>
    <t>QcI.06</t>
  </si>
  <si>
    <t>QcI.07</t>
  </si>
  <si>
    <t>QcI.08</t>
  </si>
  <si>
    <t>QcI.09</t>
  </si>
  <si>
    <t>Contabilità dei lavori a misura</t>
  </si>
  <si>
    <t>QcI.10</t>
  </si>
  <si>
    <t>Contabilità dei lavori a corpo</t>
  </si>
  <si>
    <t>QcI.11</t>
  </si>
  <si>
    <t>Certificato di regolare esecuzione</t>
  </si>
  <si>
    <t>QcI.12</t>
  </si>
  <si>
    <t>Coordinamento della sicurezza in esecuzione</t>
  </si>
  <si>
    <t>QcI.13</t>
  </si>
  <si>
    <t>Supporto al RUP: per la supervisione e coordinamento della D.L. e della C.S.E.</t>
  </si>
  <si>
    <t>Ufficio della direzione lavori, per ogni addetto con qualifica di ispettore di cantiere</t>
  </si>
  <si>
    <t>d.I) VERIFICHE E COLLAUDI</t>
  </si>
  <si>
    <t>QdI.01</t>
  </si>
  <si>
    <t>QdI.02</t>
  </si>
  <si>
    <t>Revisione tecnico contabile (Parte II, Titolo X, d.P.R. 207/10)</t>
  </si>
  <si>
    <t>QdI.03</t>
  </si>
  <si>
    <t>Collaudo statico (Capitolo 9, d.m. 14/01/2008)</t>
  </si>
  <si>
    <t>QdI.04</t>
  </si>
  <si>
    <t>Collaudo tecnico funzionale degli impianti (d.m. 22/01/2008 n°37)</t>
  </si>
  <si>
    <t>QdI.05</t>
  </si>
  <si>
    <t>e.I) MONITORAGGI</t>
  </si>
  <si>
    <t>QeI.01</t>
  </si>
  <si>
    <t>Monitoraggi ambientali, naturalistici, fitoiatrici, faunistici, agronomici, zootecnici (artt. 18,28 Parte III All.1-All. 7 d.Lgs.152/2006)</t>
  </si>
  <si>
    <t>Ricerche agricole e/o agro-industriali, nelle bioenergie, all'innovazione e sviluppo dei settori di competenza, la statistica, le ricerche di mercato, le attività relative agli assetti societari, alla cooperazione ed all'aggregazione di reti di impresa nel settore agricolo, agroalimentare, ambientale, energetico e forestale</t>
  </si>
  <si>
    <t>Liquidazione (art.194, comma 1, d.P.R. 207/10)-Rendicontazioni e liquidazione tecnico contabile</t>
  </si>
  <si>
    <t>Ufficio della direzione lavori, per ogni addetto con qualifica di direttore operativo</t>
  </si>
  <si>
    <t>INFRASTRUTTURE PER LA MOBILITÀ</t>
  </si>
  <si>
    <r>
      <rPr>
        <b/>
        <sz val="8"/>
        <rFont val="Calibri"/>
        <family val="2"/>
        <scheme val="minor"/>
      </rPr>
      <t>Gradi di complessità
G</t>
    </r>
  </si>
  <si>
    <r>
      <rPr>
        <sz val="8"/>
        <rFont val="Calibri"/>
        <family val="2"/>
        <scheme val="minor"/>
      </rPr>
      <t>Collaudo tecnico amministrativo</t>
    </r>
    <r>
      <rPr>
        <vertAlign val="superscript"/>
        <sz val="8"/>
        <rFont val="Calibri"/>
        <family val="2"/>
        <scheme val="minor"/>
      </rPr>
      <t>12</t>
    </r>
  </si>
  <si>
    <r>
      <rPr>
        <sz val="8"/>
        <rFont val="Calibri"/>
        <family val="2"/>
        <scheme val="minor"/>
      </rPr>
      <t>Attestato di certificazione energetica (art.6 d.lgs. 311/2006)esclusa diagnosi energetica</t>
    </r>
    <r>
      <rPr>
        <vertAlign val="superscript"/>
        <sz val="8"/>
        <rFont val="Calibri"/>
        <family val="2"/>
        <scheme val="minor"/>
      </rPr>
      <t>13</t>
    </r>
  </si>
  <si>
    <t>Diagnosi energetica (ex Legge 10/91 e s.m.i.) degli edifici esistenti, esclusi i rilievi e le indagini</t>
  </si>
  <si>
    <t>PRESTAZIONI PREVENTIVATE</t>
  </si>
  <si>
    <t>Elaborazioni, analisi e valutazioni con modelli numerici, software dedicati, (incendi boschivi, diffusione inquinanti, idrologia ed idrogeologia, regimazione delle acque, idraulica, colate di fango e di detriti, esondazioni, aree di pericolo, stabilità dei pendii, filtrazioni, reti ecologiche e dinamiche ecologiche) (d.Lgs 152/2006 – All.VI-
VII)</t>
  </si>
  <si>
    <r>
      <t xml:space="preserve">Capitolato speciale descrittivo e prestazionale, schema di contratto  </t>
    </r>
    <r>
      <rPr>
        <vertAlign val="superscript"/>
        <sz val="11"/>
        <color theme="1"/>
        <rFont val="Calibri"/>
        <family val="2"/>
        <scheme val="minor"/>
      </rPr>
      <t>4</t>
    </r>
  </si>
  <si>
    <r>
      <t>Relazione  geologica</t>
    </r>
    <r>
      <rPr>
        <vertAlign val="superscript"/>
        <sz val="11"/>
        <color theme="1"/>
        <rFont val="Calibri"/>
        <family val="2"/>
        <scheme val="minor"/>
      </rPr>
      <t>5</t>
    </r>
  </si>
  <si>
    <r>
      <t xml:space="preserve">Relazione tecnica sullo stato di consistenza degli immobili da ristrutturare </t>
    </r>
    <r>
      <rPr>
        <vertAlign val="superscript"/>
        <sz val="11"/>
        <color theme="1"/>
        <rFont val="Calibri"/>
        <family val="2"/>
        <scheme val="minor"/>
      </rPr>
      <t>6</t>
    </r>
  </si>
  <si>
    <r>
      <t>Schema di contratto, Capitolato speciale d'appalto</t>
    </r>
    <r>
      <rPr>
        <vertAlign val="superscript"/>
        <sz val="11"/>
        <color theme="1"/>
        <rFont val="Calibri"/>
        <family val="2"/>
        <scheme val="minor"/>
      </rPr>
      <t>7</t>
    </r>
  </si>
  <si>
    <r>
      <t>Relazione geologica</t>
    </r>
    <r>
      <rPr>
        <vertAlign val="superscript"/>
        <sz val="11"/>
        <color theme="1"/>
        <rFont val="Calibri"/>
        <family val="2"/>
        <scheme val="minor"/>
      </rPr>
      <t>8</t>
    </r>
  </si>
  <si>
    <r>
      <t>Ufficio della direzione lavori, per ogni addetto con qualifica di direttore operativo “GEOLOGO”</t>
    </r>
    <r>
      <rPr>
        <vertAlign val="superscript"/>
        <sz val="11"/>
        <color theme="1"/>
        <rFont val="Calibri"/>
        <family val="2"/>
        <scheme val="minor"/>
      </rPr>
      <t>9</t>
    </r>
  </si>
  <si>
    <r>
      <t>Variante delle quantità del progetto in corso d'opera</t>
    </r>
    <r>
      <rPr>
        <vertAlign val="superscript"/>
        <sz val="11"/>
        <color theme="1"/>
        <rFont val="Calibri"/>
        <family val="2"/>
        <scheme val="minor"/>
      </rPr>
      <t>10</t>
    </r>
  </si>
  <si>
    <r>
      <t>Variante del progetto  in corso d'opera</t>
    </r>
    <r>
      <rPr>
        <vertAlign val="superscript"/>
        <sz val="11"/>
        <color theme="1"/>
        <rFont val="Calibri"/>
        <family val="2"/>
        <scheme val="minor"/>
      </rPr>
      <t>11</t>
    </r>
  </si>
  <si>
    <t>X</t>
  </si>
  <si>
    <t>Relazione  geologica</t>
  </si>
  <si>
    <t>Imp. Totale</t>
  </si>
  <si>
    <t>Imp.  a misura</t>
  </si>
  <si>
    <t>Imp. a corpo</t>
  </si>
  <si>
    <t>Importo</t>
  </si>
  <si>
    <t>Capitolato speciale descrittivo e prestazionale, schema di contratto</t>
  </si>
  <si>
    <t>Piano economico e finanziario di massima</t>
  </si>
  <si>
    <t>P</t>
  </si>
  <si>
    <t>G</t>
  </si>
  <si>
    <t>Progetti esecutivi cantierabili relativi ad attività subordinata a  PdC  e/o a pareri o autorizzazioni</t>
  </si>
  <si>
    <t>Progetti esecutivi cantierabili relativi ad attività subordinata a SCIA/SCIAPDC</t>
  </si>
  <si>
    <t>Progetti esecutivi cantierabili relativi ad attività subordinata a CIL/CILA ovvero che non richiedono altri pareri o autorizzazioni</t>
  </si>
  <si>
    <t>M</t>
  </si>
  <si>
    <t>ID</t>
  </si>
  <si>
    <t>K1</t>
  </si>
  <si>
    <t>COMPLESSITA' RELATIVA AI TITOLI ABILITATIVI RICHIESTI</t>
  </si>
  <si>
    <t>Importo Progetto/ Coeff. Equivalente</t>
  </si>
  <si>
    <t>INTEGRAZIONE PRESTAZIONI DA DM. 140/2012</t>
  </si>
  <si>
    <t>QalII.04</t>
  </si>
  <si>
    <t>Controlli ed Analisi chimiche fisiche, biologiche, ogm e sensoriali</t>
  </si>
  <si>
    <t>QalII.05</t>
  </si>
  <si>
    <t>Valutazioni della qualità di processo e di prodotto</t>
  </si>
  <si>
    <t>Consulenze e curatele aziendali</t>
  </si>
  <si>
    <t>QaIV.02</t>
  </si>
  <si>
    <t>Consulenze e pareri e studi nel settore dell'ecologia, della difesa ambientale e della natura, della difesa delle piante e dei loro prodotti, idrogeologia, nivologia e assestamento faunistica - atto fitoiatrico</t>
  </si>
  <si>
    <t>Relazioni tecniche e specialistiche</t>
  </si>
  <si>
    <t>Predisposizione e curatela del fascicolo per il rilascio di VAS - VIA -AIA</t>
  </si>
  <si>
    <t>QaIV.06</t>
  </si>
  <si>
    <t>QaIV.07</t>
  </si>
  <si>
    <t>Assistenza tecnica, economica, contrattuale e fiscale.</t>
  </si>
  <si>
    <t>QaIV.08</t>
  </si>
  <si>
    <t>Consulenza aziendale, tecnica, fiscale, amministrativa del lavoro</t>
  </si>
  <si>
    <t>a.IV) CONSULENZE E CURATELE</t>
  </si>
  <si>
    <t>Bilanci aziendali, inventari e studi di fattibilìtà tecnico economica</t>
  </si>
  <si>
    <t>QaV.03</t>
  </si>
  <si>
    <t>Amministrazione e gestione di aziende agricole, forestali, agro-industriali, zootecniche ed ambientali.</t>
  </si>
  <si>
    <t>QbIV.01</t>
  </si>
  <si>
    <t>Pianificazione</t>
  </si>
  <si>
    <t>QbIV.02</t>
  </si>
  <si>
    <t>Pianificazione forestale. paesaggistica, naturalistica ed ambientale</t>
  </si>
  <si>
    <t>QbIV.03</t>
  </si>
  <si>
    <t>Piani aziendali agronomici, di concimazione, fertilizzazione, reflui e fitoiatrici</t>
  </si>
  <si>
    <t>QbIV.04</t>
  </si>
  <si>
    <t>Programmazione economica, territoriale, locale e rurale</t>
  </si>
  <si>
    <t>Qb.IV) PIANIFICAZIONE E PROGRAMMAZIONE - 0</t>
  </si>
  <si>
    <t>PROGETTAZIONE ESECUTIVA</t>
  </si>
  <si>
    <t>COEFF.</t>
  </si>
  <si>
    <t>PARAMETRO «V», DATO DAL COSTO DELLE SINGOLE CATEGORIE COMPONENTI L'OPERA</t>
  </si>
  <si>
    <t>PARAMETRO BASE «P», CHE SI APPLICA AL COSTO ECONOMICO DELLE SINGOLE CATEGORIE COMPONENTI L'OPERA</t>
  </si>
  <si>
    <t>PARAMETRO «G», RELATIVO ALLA COMPLESSITÀ DELLA PRESTAZIONE</t>
  </si>
  <si>
    <t>DATI</t>
  </si>
  <si>
    <t>ACQUISTO MACCHINARI E ATTREZZATURE</t>
  </si>
  <si>
    <t>SPESE TECNICHE</t>
  </si>
  <si>
    <t>TOTALE SPESE AMBITO A</t>
  </si>
  <si>
    <t>PRECENTUALE SPESE GEN. AMBITO B</t>
  </si>
  <si>
    <t>SPESE TECNICHE GENERALI AMBITO A</t>
  </si>
  <si>
    <t>oltre 1 milione di €uro
 (da applicarsi sulla quote eccedenti le fasce precedenti)</t>
  </si>
  <si>
    <r>
      <t xml:space="preserve">COEFFICIENTE PSR PER LA DETERMINAZIONE DELLA TARIFFA DI MERCATO
</t>
    </r>
    <r>
      <rPr>
        <b/>
        <i/>
        <sz val="8"/>
        <color theme="1"/>
        <rFont val="Calibri"/>
        <family val="2"/>
        <scheme val="minor"/>
      </rPr>
      <t>( I COEFFICENTI SONO APPLICATI ALLA DETERMINAZIONE DERIVANTE DAL DM 17 GIUGNO2017RISPETTO ALLA PRESTAZIONI SELEZIONATE)</t>
    </r>
  </si>
  <si>
    <t>Gradi di complessità
G 
(DM 17 giugno 2016)</t>
  </si>
  <si>
    <t>PSR LAVORI</t>
  </si>
  <si>
    <t>PSR MACCHINARI</t>
  </si>
  <si>
    <t>Rilievi , studi e classificazioni agronomiche, colturali, delle biomasse e delle attività produttive (d.Lgs 152/2006 – All.VI-VII) compresi  rilievi topografici e catastali</t>
  </si>
  <si>
    <t>Relazione dei piani di impresa o dei Business plan, piani di investimento per l'accesso a contributi comunitari</t>
  </si>
  <si>
    <t>Predisposizione e curatela del fascicolo per il rilascio di autorizzazioni, permessi, SCIA, DIA, ecc</t>
  </si>
  <si>
    <t>Predisposizioni di fascicoli aziendali e di progetto finalizzati all'accesso ai contributi comunitari e delle relative procedure gestionali</t>
  </si>
  <si>
    <t>Studio di impatto ambientale o di fattibilità ambientale (VIA-VAS- AIA), compreso piani di miglioramento fondiario e piani organici aziendali</t>
  </si>
  <si>
    <t>Rilievi, studi e classificazioni agronomiche, colturali, delle biomasse e delle attività produttive (d.Lgs 152/2006 – All.VI-VII) compreso rilievi topografici e catastali</t>
  </si>
  <si>
    <t>Studio di impatto ambientale o di fattibilità ambientale (VIA-VAS- AIA), compreso Piani di miglioramento fondiario e piani organici aziendali</t>
  </si>
  <si>
    <t>Numero di prestazioni sul totale possibili</t>
  </si>
  <si>
    <t>Coeff. "Q"</t>
  </si>
  <si>
    <t>Importi</t>
  </si>
  <si>
    <t>TOTALE PRESTAZIONI</t>
  </si>
  <si>
    <t>Collaudo tecnico amministrativo</t>
  </si>
  <si>
    <t>Relazione geologica</t>
  </si>
  <si>
    <t>Totali</t>
  </si>
  <si>
    <t>Variante delle quantità del progetto in corso d'opera</t>
  </si>
  <si>
    <t>Percentuale sul totale progetto</t>
  </si>
  <si>
    <t>QaIV.05(mod. coeff. Rispetto edilizia)</t>
  </si>
  <si>
    <t>QaV.01(mod. coeff. Rispetto edilizia)</t>
  </si>
  <si>
    <t>QaIV.04(mod. coeff. Rispetto edilizia)</t>
  </si>
  <si>
    <t>Progetto</t>
  </si>
  <si>
    <t>% compenso</t>
  </si>
  <si>
    <t>Importo compenso</t>
  </si>
  <si>
    <t>QaIV.03(mod. coeff. Rispetto edilizia)</t>
  </si>
  <si>
    <t>QeI.02(mod. coeff. Rispetto edilizia)</t>
  </si>
  <si>
    <t xml:space="preserve">Interventi di manutenzione straordinaria, ristrutturazione, riqualificazione, su edifici e manufatti esistenti </t>
  </si>
  <si>
    <t>Strutture o parti di strutture in cemento armato, non soggette ad azioni sismiche - riparazione o intervento locale - Verifiche strutturali relative - Ponteggi, centinature e strutture provvisionali di durata inferiore a due anni</t>
  </si>
  <si>
    <t>Strutture o parti di strutture in muratura, legno, metallo, non soggette ad azioni sismiche - riparazione o intervento locale - Verifiche strutturali relative,</t>
  </si>
  <si>
    <t>S.04</t>
  </si>
  <si>
    <t>Strutture o parti di strutture in muratura, legno, metallo - Verifiche strutturali relative - Consolidamento delle opere di fondazione di manufatti dissestati - Ponti, Paratie e tiranti, Consolidamento di pendii e di fronti rocciosi ed opere connesse, di tipo corrente - Verifiche strutturali relative.</t>
  </si>
  <si>
    <t>IMPIANTI (A)</t>
  </si>
  <si>
    <t>IA.01</t>
  </si>
  <si>
    <t>IA.02</t>
  </si>
  <si>
    <t>IA.03</t>
  </si>
  <si>
    <t>Impianti elettrici in genere, impianti di illuminazione, telefonici, di rivelazione incendi, fotovoltaici, a corredo di edifici e costruzioni di importanza corrente - singole apparecchiature per laboratori e impianti pilota di tipo semplice</t>
  </si>
  <si>
    <t>IA.04</t>
  </si>
  <si>
    <t>D.04</t>
  </si>
  <si>
    <t>P.06</t>
  </si>
  <si>
    <t>Q.TA PRESTAZIONE</t>
  </si>
  <si>
    <t>IMPORTO</t>
  </si>
  <si>
    <t>Relazioni tecniche e specialistiche (Agronomi)</t>
  </si>
  <si>
    <t>TABELLA INSERIMENTO E CALCOLO PRESTAZIONI
( CONSIDERARE SOLO LE PRESTAZIONI NON BARRATE)</t>
  </si>
  <si>
    <t xml:space="preserve">COEFFICIENTE PSR </t>
  </si>
  <si>
    <t>TOTALE SPESE TECNICHE AMBITO B
(acquisto o leasing di nuovi macchinari e attrezzature fino a copertura del valore di mercato del bene)</t>
  </si>
  <si>
    <t>SPESE TECNICHE AMBITO A
 (costruzione, acquisizione, incluso il leasing, o miglioramento di beni immobili)</t>
  </si>
  <si>
    <t>Parziale A</t>
  </si>
  <si>
    <t>Parziale B</t>
  </si>
  <si>
    <t>TOTALE PRESTAZIONI (A+B)</t>
  </si>
  <si>
    <t>QaV.02(mod. coeff. Rispetto edilizia)</t>
  </si>
  <si>
    <r>
      <t>Opere di intervento per la realizzazione di infrastrutture e di miglioramento dell’assetto rurale.</t>
    </r>
    <r>
      <rPr>
        <b/>
        <sz val="8"/>
        <color rgb="FFFF0000"/>
        <rFont val="Calibri"/>
        <family val="2"/>
        <scheme val="minor"/>
      </rPr>
      <t xml:space="preserve"> Si includono le opere di miglioramneto fondiario</t>
    </r>
  </si>
  <si>
    <t>AGRONOMI</t>
  </si>
  <si>
    <t>Coeff. "Q" DM</t>
  </si>
  <si>
    <t>Coeff. Compl. PSR</t>
  </si>
  <si>
    <t>Grado di complessità "G"</t>
  </si>
  <si>
    <t>Coeff. Compl</t>
  </si>
  <si>
    <t>DM</t>
  </si>
  <si>
    <t>&lt;=0,70</t>
  </si>
  <si>
    <t>&gt;0,70</t>
  </si>
  <si>
    <t>CALCOLO SPESE TECNICHE AMBITO B PER IMPORTI PER PROGETTI SUPERIORI O UGUALI AD €75.000,00
PER PROGETTI DI IMPORTO INFERIORI AD €75.000,00, LA PERCENTUALE è ESEMPRE PARI AL 4,90 %</t>
  </si>
  <si>
    <t>V&gt;= € 250.000,00</t>
  </si>
  <si>
    <t>V&lt; € 100.000,00</t>
  </si>
  <si>
    <t>100.000&lt;=V&gt;= € 250.000,00</t>
  </si>
  <si>
    <t>Predisposizione e curatela del fascicolo documentale per il rilascio di autorizzazioni, permessi, SCIA, DIA, ecc</t>
  </si>
  <si>
    <t>Predisposizione e curatela del fascicolo documentale per il rilascio di VAS - VIA -AIA</t>
  </si>
  <si>
    <r>
      <t xml:space="preserve">Fino a €500.000 </t>
    </r>
    <r>
      <rPr>
        <b/>
        <sz val="10"/>
        <rFont val="Calibri"/>
        <family val="2"/>
        <scheme val="minor"/>
      </rPr>
      <t xml:space="preserve">0,045
</t>
    </r>
    <r>
      <rPr>
        <sz val="10"/>
        <rFont val="Calibri"/>
        <family val="2"/>
        <scheme val="minor"/>
      </rPr>
      <t xml:space="preserve">Sull’eccedenza </t>
    </r>
    <r>
      <rPr>
        <b/>
        <sz val="10"/>
        <rFont val="Calibri"/>
        <family val="2"/>
        <scheme val="minor"/>
      </rPr>
      <t>0,09</t>
    </r>
  </si>
  <si>
    <r>
      <t>Collaudo tecnico amministrativo</t>
    </r>
    <r>
      <rPr>
        <vertAlign val="superscript"/>
        <sz val="10"/>
        <rFont val="Calibri"/>
        <family val="2"/>
        <scheme val="minor"/>
      </rPr>
      <t>12</t>
    </r>
  </si>
  <si>
    <t>Predisposizioni di fascicoli aziendali (escluso la gestione ed inserimento digitale a sistema, affidata ai CAA attraverso convenzioni) e di progetto finalizzati all'accesso ai contributi comunitari e delle relative procedure gestionali</t>
  </si>
  <si>
    <r>
      <t xml:space="preserve">fino ad Euro 550.000
</t>
    </r>
    <r>
      <rPr>
        <b/>
        <i/>
        <sz val="8"/>
        <color theme="1"/>
        <rFont val="Calibri"/>
        <family val="2"/>
        <scheme val="minor"/>
      </rPr>
      <t xml:space="preserve"> (da applicarsi sulle quote eccedenti le fasce precedenti)</t>
    </r>
  </si>
  <si>
    <t>&gt; di Euro 550.000 fino a Euro 1,000.000 
(da applicarsi sulla quote eccedenti le fasce precedenti)</t>
  </si>
  <si>
    <t>PRECENTUALE SPESE GEN. AMBITO A PER PROGETTI MAGGIORI AD €. 50.000</t>
  </si>
  <si>
    <t>Calcolo come da valori DM. - Grado di complessità ALTA opere da DM 17 giugno 2016: Edilizia E.04 (90% del Tot.)- Strutture S.03 (5% del Tot.) - Impianti IA.04 (3% del Tot.) - Paesaggio P.01 (1% del Tot.) - Territorio U.01 (1% del Tot.). Complessità Titoli Edilizi: A</t>
  </si>
  <si>
    <r>
      <t xml:space="preserve">DESCRIZIONE SINGOLE PRESTAZIONI
</t>
    </r>
    <r>
      <rPr>
        <sz val="8"/>
        <color rgb="FFFF0000"/>
        <rFont val="Calibri"/>
        <family val="2"/>
        <scheme val="minor"/>
      </rPr>
      <t xml:space="preserve"> ( Le prestazioni saranno calcolate anche nell'ambito delle Edilizia, Strutture, Impianti e Viabilità con i medesimi coefficenti- Il calcolo per queste prestazioni in carattere rosso non tiene conto del coeff. Di riduzione PSR, ma è calcolata secondo DM assumendo sempre "G"= 0,85 ed una riduzione del 8,5%)</t>
    </r>
  </si>
  <si>
    <t>Grado di complessità opere da DM 17 giugno 2016: Edilizia E.04 (90% del Tot.) - Strutture S.03 (5% del Tot.) - Impianti IA.03 (3% del Tot.) - Paesaggio P.01 (1% del Tot.) - Territorio U.01 (1% del Tot.). Complessità Titoli Edilizi: A. Tutte le prestazioni</t>
  </si>
  <si>
    <t>Grado di complessità opere da DM 17 giugno 2016: Edilizia E.01 (90% del Tot.) - Strutture S.01 (5% del Tot.) - Impianti IA.01 (3% del Tot.) - Paesaggio P.01 (1% del Tot.) - Territorio U.01 (1% del Tot.). Complessità Titoli Edilizi: B. Selezione di tutte le prestazioni</t>
  </si>
  <si>
    <t>SE N.&lt; 20% Coeff = 1,08
SE20%&lt;=N.&lt; 55% Coeff = 1,02
SE 55%&lt;=N.&lt;= 80% Coeff =1;
SE N.&gt; 80% Coeff = 0,95</t>
  </si>
  <si>
    <t>TABELLA Z-2 (DM 17 giugno 2016)</t>
  </si>
</sst>
</file>

<file path=xl/styles.xml><?xml version="1.0" encoding="utf-8"?>
<styleSheet xmlns="http://schemas.openxmlformats.org/spreadsheetml/2006/main">
  <numFmts count="12">
    <numFmt numFmtId="44" formatCode="_-&quot;€&quot;\ * #,##0.00_-;\-&quot;€&quot;\ * #,##0.00_-;_-&quot;€&quot;\ * &quot;-&quot;??_-;_-@_-"/>
    <numFmt numFmtId="164" formatCode="_-* #,##0.00\ &quot;€&quot;_-;\-* #,##0.00\ &quot;€&quot;_-;_-* &quot;-&quot;??\ &quot;€&quot;_-;_-@_-"/>
    <numFmt numFmtId="165" formatCode="\€\ #,##0.00"/>
    <numFmt numFmtId="166" formatCode="0.00000"/>
    <numFmt numFmtId="167" formatCode="0.0000"/>
    <numFmt numFmtId="168" formatCode="0.0%"/>
    <numFmt numFmtId="169" formatCode="_-[$€-410]\ * #,##0.00_-;\-[$€-410]\ * #,##0.00_-;_-[$€-410]\ * &quot;-&quot;??_-;_-@_-"/>
    <numFmt numFmtId="170" formatCode="#,##0.000_ ;\-#,##0.000\ "/>
    <numFmt numFmtId="171" formatCode="0.000%"/>
    <numFmt numFmtId="172" formatCode="#,##0.0000_ ;\-#,##0.0000\ "/>
    <numFmt numFmtId="173" formatCode="_-[$€-410]\ * #,##0.00000_-;\-[$€-410]\ * #,##0.00000_-;_-[$€-410]\ * &quot;-&quot;??_-;_-@_-"/>
    <numFmt numFmtId="174" formatCode="0.0000%"/>
  </numFmts>
  <fonts count="31">
    <font>
      <sz val="11"/>
      <color theme="1"/>
      <name val="Calibri"/>
      <family val="2"/>
      <scheme val="minor"/>
    </font>
    <font>
      <b/>
      <sz val="8"/>
      <name val="Calibri"/>
      <family val="2"/>
      <scheme val="minor"/>
    </font>
    <font>
      <sz val="8"/>
      <color theme="1"/>
      <name val="Calibri"/>
      <family val="2"/>
      <scheme val="minor"/>
    </font>
    <font>
      <vertAlign val="superscript"/>
      <sz val="8"/>
      <name val="Calibri"/>
      <family val="2"/>
      <scheme val="minor"/>
    </font>
    <font>
      <sz val="8"/>
      <name val="Calibri"/>
      <family val="2"/>
      <scheme val="minor"/>
    </font>
    <font>
      <sz val="8"/>
      <color rgb="FF000000"/>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8"/>
      <name val="Calibri"/>
      <family val="2"/>
      <scheme val="minor"/>
    </font>
    <font>
      <sz val="8"/>
      <name val="Calibri"/>
      <family val="2"/>
      <scheme val="minor"/>
    </font>
    <font>
      <vertAlign val="superscript"/>
      <sz val="11"/>
      <color theme="1"/>
      <name val="Calibri"/>
      <family val="2"/>
      <scheme val="minor"/>
    </font>
    <font>
      <b/>
      <sz val="10"/>
      <color theme="1"/>
      <name val="Calibri"/>
      <family val="2"/>
      <scheme val="minor"/>
    </font>
    <font>
      <b/>
      <sz val="10"/>
      <name val="Calibri"/>
      <family val="2"/>
      <scheme val="minor"/>
    </font>
    <font>
      <b/>
      <sz val="10"/>
      <color rgb="FF000000"/>
      <name val="Calibri"/>
      <family val="2"/>
      <scheme val="minor"/>
    </font>
    <font>
      <b/>
      <sz val="8"/>
      <color theme="1"/>
      <name val="Calibri"/>
      <family val="2"/>
      <scheme val="minor"/>
    </font>
    <font>
      <b/>
      <sz val="11"/>
      <name val="Calibri"/>
      <family val="2"/>
      <scheme val="minor"/>
    </font>
    <font>
      <sz val="10"/>
      <color theme="1"/>
      <name val="Calibri"/>
      <family val="2"/>
      <scheme val="minor"/>
    </font>
    <font>
      <b/>
      <i/>
      <sz val="8"/>
      <color theme="1"/>
      <name val="Calibri"/>
      <family val="2"/>
      <scheme val="minor"/>
    </font>
    <font>
      <b/>
      <u/>
      <sz val="8"/>
      <name val="Calibri"/>
      <family val="2"/>
      <scheme val="minor"/>
    </font>
    <font>
      <sz val="9"/>
      <color indexed="81"/>
      <name val="Tahoma"/>
      <family val="2"/>
    </font>
    <font>
      <sz val="8"/>
      <color rgb="FFFF0000"/>
      <name val="Calibri"/>
      <family val="2"/>
      <scheme val="minor"/>
    </font>
    <font>
      <sz val="8"/>
      <color indexed="81"/>
      <name val="Tahoma"/>
      <family val="2"/>
    </font>
    <font>
      <b/>
      <sz val="8"/>
      <color rgb="FFFF0000"/>
      <name val="Calibri"/>
      <family val="2"/>
      <scheme val="minor"/>
    </font>
    <font>
      <sz val="10"/>
      <name val="Calibri"/>
      <family val="2"/>
      <scheme val="minor"/>
    </font>
    <font>
      <sz val="10"/>
      <color rgb="FF000000"/>
      <name val="Calibri"/>
      <family val="2"/>
      <scheme val="minor"/>
    </font>
    <font>
      <vertAlign val="superscript"/>
      <sz val="10"/>
      <name val="Calibri"/>
      <family val="2"/>
      <scheme val="minor"/>
    </font>
    <font>
      <sz val="9"/>
      <color indexed="81"/>
      <name val="Tahoma"/>
      <charset val="1"/>
    </font>
    <font>
      <sz val="8"/>
      <color rgb="FFFFC000"/>
      <name val="Calibri"/>
      <family val="2"/>
      <scheme val="minor"/>
    </font>
    <font>
      <b/>
      <sz val="9"/>
      <color indexed="10"/>
      <name val="Tahoma"/>
      <family val="2"/>
    </font>
    <font>
      <sz val="9"/>
      <color theme="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rgb="FFFFFF99"/>
        <bgColor indexed="64"/>
      </patternFill>
    </fill>
    <fill>
      <patternFill patternType="solid">
        <fgColor rgb="FFFFCCFF"/>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diagonalUp="1" diagonalDown="1">
      <left style="thin">
        <color rgb="FF000000"/>
      </left>
      <right style="thin">
        <color rgb="FF000000"/>
      </right>
      <top style="thin">
        <color rgb="FF000000"/>
      </top>
      <bottom style="thin">
        <color rgb="FF000000"/>
      </bottom>
      <diagonal style="thin">
        <color rgb="FF000000"/>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diagonalUp="1" diagonalDown="1">
      <left style="thin">
        <color rgb="FF000000"/>
      </left>
      <right/>
      <top style="thin">
        <color rgb="FF000000"/>
      </top>
      <bottom style="thin">
        <color rgb="FF000000"/>
      </bottom>
      <diagonal style="thin">
        <color rgb="FF000000"/>
      </diagonal>
    </border>
    <border diagonalUp="1" diagonalDown="1">
      <left style="thin">
        <color rgb="FF000000"/>
      </left>
      <right/>
      <top/>
      <bottom style="thin">
        <color rgb="FF000000"/>
      </bottom>
      <diagonal style="thin">
        <color rgb="FF000000"/>
      </diagonal>
    </border>
    <border diagonalUp="1" diagonalDown="1">
      <left style="thin">
        <color indexed="64"/>
      </left>
      <right style="thin">
        <color indexed="64"/>
      </right>
      <top style="thin">
        <color indexed="64"/>
      </top>
      <bottom style="thin">
        <color indexed="64"/>
      </bottom>
      <diagonal style="thin">
        <color rgb="FF000000"/>
      </diagonal>
    </border>
    <border diagonalUp="1" diagonalDown="1">
      <left style="thin">
        <color rgb="FF000000"/>
      </left>
      <right style="thin">
        <color rgb="FF000000"/>
      </right>
      <top style="thin">
        <color rgb="FF000000"/>
      </top>
      <bottom/>
      <diagonal style="thin">
        <color rgb="FF000000"/>
      </diagonal>
    </border>
    <border diagonalUp="1" diagonalDown="1">
      <left style="thin">
        <color rgb="FF000000"/>
      </left>
      <right/>
      <top style="thin">
        <color rgb="FF000000"/>
      </top>
      <bottom/>
      <diagonal style="thin">
        <color rgb="FF000000"/>
      </diagonal>
    </border>
    <border diagonalUp="1" diagonalDown="1">
      <left style="thin">
        <color indexed="64"/>
      </left>
      <right style="thin">
        <color indexed="64"/>
      </right>
      <top style="thin">
        <color indexed="64"/>
      </top>
      <bottom/>
      <diagonal style="thin">
        <color rgb="FF000000"/>
      </diagonal>
    </border>
    <border diagonalUp="1" diagonalDown="1">
      <left style="thin">
        <color rgb="FF000000"/>
      </left>
      <right style="thin">
        <color rgb="FF000000"/>
      </right>
      <top/>
      <bottom style="thin">
        <color rgb="FF000000"/>
      </bottom>
      <diagonal style="thin">
        <color rgb="FF000000"/>
      </diagonal>
    </border>
    <border diagonalUp="1" diagonalDown="1">
      <left style="thin">
        <color indexed="64"/>
      </left>
      <right style="thin">
        <color indexed="64"/>
      </right>
      <top/>
      <bottom style="thin">
        <color indexed="64"/>
      </bottom>
      <diagonal style="thin">
        <color rgb="FF000000"/>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diagonalDown="1">
      <left style="medium">
        <color indexed="64"/>
      </left>
      <right/>
      <top/>
      <bottom style="thin">
        <color rgb="FF000000"/>
      </bottom>
      <diagonal style="thin">
        <color rgb="FF000000"/>
      </diagonal>
    </border>
    <border diagonalUp="1" diagonalDown="1">
      <left style="thin">
        <color indexed="64"/>
      </left>
      <right style="medium">
        <color indexed="64"/>
      </right>
      <top/>
      <bottom style="thin">
        <color indexed="64"/>
      </bottom>
      <diagonal style="thin">
        <color rgb="FF000000"/>
      </diagonal>
    </border>
    <border diagonalUp="1" diagonalDown="1">
      <left style="thin">
        <color indexed="64"/>
      </left>
      <right style="medium">
        <color indexed="64"/>
      </right>
      <top style="thin">
        <color indexed="64"/>
      </top>
      <bottom style="thin">
        <color indexed="64"/>
      </bottom>
      <diagonal style="thin">
        <color rgb="FF000000"/>
      </diagonal>
    </border>
    <border>
      <left style="medium">
        <color indexed="64"/>
      </left>
      <right/>
      <top/>
      <bottom style="thin">
        <color rgb="FF000000"/>
      </bottom>
      <diagonal/>
    </border>
    <border diagonalUp="1" diagonalDown="1">
      <left style="medium">
        <color indexed="64"/>
      </left>
      <right/>
      <top style="thin">
        <color rgb="FF000000"/>
      </top>
      <bottom style="thin">
        <color rgb="FF000000"/>
      </bottom>
      <diagonal style="thin">
        <color rgb="FF000000"/>
      </diagonal>
    </border>
    <border diagonalUp="1" diagonalDown="1">
      <left style="medium">
        <color indexed="64"/>
      </left>
      <right/>
      <top/>
      <bottom/>
      <diagonal style="thin">
        <color rgb="FF000000"/>
      </diagonal>
    </border>
    <border diagonalUp="1" diagonalDown="1">
      <left style="thin">
        <color indexed="64"/>
      </left>
      <right style="medium">
        <color indexed="64"/>
      </right>
      <top style="thin">
        <color indexed="64"/>
      </top>
      <bottom/>
      <diagonal style="thin">
        <color rgb="FF000000"/>
      </diagonal>
    </border>
    <border diagonalUp="1" diagonalDown="1">
      <left style="medium">
        <color indexed="64"/>
      </left>
      <right style="thin">
        <color indexed="64"/>
      </right>
      <top style="thin">
        <color indexed="64"/>
      </top>
      <bottom style="thin">
        <color indexed="64"/>
      </bottom>
      <diagonal style="thin">
        <color rgb="FF000000"/>
      </diagonal>
    </border>
    <border diagonalUp="1" diagonalDown="1">
      <left style="medium">
        <color indexed="64"/>
      </left>
      <right style="thin">
        <color indexed="64"/>
      </right>
      <top style="thin">
        <color indexed="64"/>
      </top>
      <bottom style="medium">
        <color indexed="64"/>
      </bottom>
      <diagonal style="thin">
        <color rgb="FF000000"/>
      </diagonal>
    </border>
    <border diagonalUp="1" diagonalDown="1">
      <left style="thin">
        <color indexed="64"/>
      </left>
      <right style="thin">
        <color indexed="64"/>
      </right>
      <top style="thin">
        <color indexed="64"/>
      </top>
      <bottom style="medium">
        <color indexed="64"/>
      </bottom>
      <diagonal style="thin">
        <color rgb="FF000000"/>
      </diagonal>
    </border>
    <border diagonalUp="1" diagonalDown="1">
      <left style="medium">
        <color indexed="64"/>
      </left>
      <right/>
      <top/>
      <bottom style="medium">
        <color indexed="64"/>
      </bottom>
      <diagonal style="thin">
        <color rgb="FF000000"/>
      </diagonal>
    </border>
    <border>
      <left style="thin">
        <color indexed="64"/>
      </left>
      <right style="medium">
        <color indexed="64"/>
      </right>
      <top style="medium">
        <color indexed="64"/>
      </top>
      <bottom style="thin">
        <color indexed="64"/>
      </bottom>
      <diagonal/>
    </border>
    <border>
      <left style="thin">
        <color rgb="FF000000"/>
      </left>
      <right/>
      <top/>
      <bottom style="thin">
        <color rgb="FF000000"/>
      </bottom>
      <diagonal/>
    </border>
    <border>
      <left/>
      <right/>
      <top style="thin">
        <color rgb="FF000000"/>
      </top>
      <bottom style="thin">
        <color indexed="64"/>
      </bottom>
      <diagonal/>
    </border>
    <border>
      <left style="thin">
        <color indexed="64"/>
      </left>
      <right style="medium">
        <color indexed="64"/>
      </right>
      <top style="thin">
        <color indexed="64"/>
      </top>
      <bottom/>
      <diagonal/>
    </border>
    <border diagonalUp="1" diagonalDown="1">
      <left style="medium">
        <color indexed="64"/>
      </left>
      <right/>
      <top style="thin">
        <color indexed="64"/>
      </top>
      <bottom style="thin">
        <color indexed="64"/>
      </bottom>
      <diagonal style="thin">
        <color rgb="FF000000"/>
      </diagonal>
    </border>
    <border>
      <left style="medium">
        <color indexed="64"/>
      </left>
      <right/>
      <top style="medium">
        <color indexed="64"/>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right/>
      <top/>
      <bottom style="thin">
        <color rgb="FF000000"/>
      </bottom>
      <diagonal/>
    </border>
    <border>
      <left style="medium">
        <color indexed="64"/>
      </left>
      <right style="medium">
        <color indexed="64"/>
      </right>
      <top/>
      <bottom style="medium">
        <color indexed="64"/>
      </bottom>
      <diagonal/>
    </border>
    <border diagonalUp="1" diagonalDown="1">
      <left style="medium">
        <color indexed="64"/>
      </left>
      <right style="medium">
        <color indexed="64"/>
      </right>
      <top/>
      <bottom style="medium">
        <color indexed="64"/>
      </bottom>
      <diagonal style="thin">
        <color rgb="FF000000"/>
      </diagonal>
    </border>
  </borders>
  <cellStyleXfs count="3">
    <xf numFmtId="0" fontId="0" fillId="0" borderId="0"/>
    <xf numFmtId="164" fontId="6" fillId="0" borderId="0" applyFont="0" applyFill="0" applyBorder="0" applyAlignment="0" applyProtection="0"/>
    <xf numFmtId="9" fontId="6" fillId="0" borderId="0" applyFont="0" applyFill="0" applyBorder="0" applyAlignment="0" applyProtection="0"/>
  </cellStyleXfs>
  <cellXfs count="412">
    <xf numFmtId="0" fontId="0" fillId="0" borderId="0" xfId="0"/>
    <xf numFmtId="0" fontId="7" fillId="0" borderId="0" xfId="0" applyFont="1"/>
    <xf numFmtId="0" fontId="9"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10" fontId="6" fillId="0" borderId="0" xfId="2" applyNumberFormat="1" applyFont="1"/>
    <xf numFmtId="0" fontId="10" fillId="0" borderId="0" xfId="0" applyFont="1" applyFill="1" applyBorder="1" applyAlignment="1">
      <alignment horizontal="center" vertical="center" textRotation="90" wrapText="1"/>
    </xf>
    <xf numFmtId="164" fontId="0" fillId="0" borderId="0" xfId="1" applyFont="1"/>
    <xf numFmtId="10" fontId="0" fillId="0" borderId="0" xfId="2" applyNumberFormat="1" applyFont="1"/>
    <xf numFmtId="9" fontId="0" fillId="0" borderId="0" xfId="2" applyFont="1"/>
    <xf numFmtId="168" fontId="0" fillId="0" borderId="0" xfId="2" applyNumberFormat="1" applyFont="1"/>
    <xf numFmtId="0" fontId="1" fillId="8" borderId="1" xfId="0" applyFont="1" applyFill="1" applyBorder="1" applyAlignment="1">
      <alignment horizontal="center" vertical="center" wrapText="1"/>
    </xf>
    <xf numFmtId="44" fontId="0" fillId="0" borderId="0" xfId="0" applyNumberFormat="1"/>
    <xf numFmtId="0" fontId="7" fillId="0" borderId="11" xfId="0" applyFont="1" applyBorder="1" applyAlignment="1">
      <alignment horizontal="center"/>
    </xf>
    <xf numFmtId="0" fontId="7" fillId="0" borderId="12" xfId="0" applyFont="1" applyBorder="1" applyAlignment="1">
      <alignment horizontal="center"/>
    </xf>
    <xf numFmtId="0" fontId="15" fillId="10"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164" fontId="15" fillId="10" borderId="1" xfId="1" applyFont="1" applyFill="1" applyBorder="1" applyAlignment="1">
      <alignment vertical="center"/>
    </xf>
    <xf numFmtId="10" fontId="1" fillId="7" borderId="1" xfId="0" quotePrefix="1" applyNumberFormat="1" applyFont="1" applyFill="1" applyBorder="1" applyAlignment="1">
      <alignment horizontal="center" vertical="center"/>
    </xf>
    <xf numFmtId="167" fontId="1" fillId="7" borderId="1" xfId="0" applyNumberFormat="1" applyFont="1" applyFill="1" applyBorder="1" applyAlignment="1">
      <alignment horizontal="center" vertical="center"/>
    </xf>
    <xf numFmtId="164" fontId="1" fillId="4" borderId="1" xfId="0" applyNumberFormat="1" applyFont="1" applyFill="1" applyBorder="1" applyAlignment="1">
      <alignment horizontal="center" vertical="center"/>
    </xf>
    <xf numFmtId="0" fontId="1" fillId="8" borderId="11" xfId="0" applyFont="1" applyFill="1" applyBorder="1" applyAlignment="1">
      <alignment horizontal="center" vertical="center" wrapText="1"/>
    </xf>
    <xf numFmtId="164" fontId="15" fillId="10" borderId="11" xfId="1" applyFont="1" applyFill="1" applyBorder="1" applyAlignment="1">
      <alignment vertical="center"/>
    </xf>
    <xf numFmtId="10" fontId="1" fillId="7" borderId="11" xfId="0" quotePrefix="1" applyNumberFormat="1" applyFont="1" applyFill="1" applyBorder="1" applyAlignment="1">
      <alignment horizontal="center" vertical="center"/>
    </xf>
    <xf numFmtId="167" fontId="1" fillId="7" borderId="11" xfId="0" applyNumberFormat="1" applyFont="1" applyFill="1" applyBorder="1" applyAlignment="1">
      <alignment horizontal="center" vertical="center"/>
    </xf>
    <xf numFmtId="164" fontId="16" fillId="10" borderId="1" xfId="0" applyNumberFormat="1" applyFont="1" applyFill="1" applyBorder="1" applyAlignment="1">
      <alignment horizontal="center" vertical="center"/>
    </xf>
    <xf numFmtId="0" fontId="0" fillId="0" borderId="0" xfId="0" applyAlignment="1">
      <alignment vertical="center"/>
    </xf>
    <xf numFmtId="0" fontId="10" fillId="0" borderId="0" xfId="0" applyFont="1" applyFill="1" applyBorder="1" applyAlignment="1">
      <alignment horizontal="center" vertical="center" textRotation="90" wrapText="1"/>
    </xf>
    <xf numFmtId="44" fontId="7" fillId="0" borderId="0" xfId="0" applyNumberFormat="1" applyFont="1" applyAlignment="1"/>
    <xf numFmtId="0" fontId="7" fillId="0" borderId="0" xfId="0" applyFont="1" applyBorder="1"/>
    <xf numFmtId="166" fontId="14" fillId="0" borderId="1" xfId="0" applyNumberFormat="1" applyFont="1" applyFill="1" applyBorder="1" applyAlignment="1">
      <alignment horizontal="center" vertical="center" shrinkToFit="1"/>
    </xf>
    <xf numFmtId="166" fontId="13" fillId="0" borderId="1" xfId="0" applyNumberFormat="1" applyFont="1" applyFill="1" applyBorder="1" applyAlignment="1">
      <alignment horizontal="center" vertical="center" wrapText="1"/>
    </xf>
    <xf numFmtId="166" fontId="12" fillId="0" borderId="24" xfId="0" applyNumberFormat="1" applyFont="1" applyFill="1" applyBorder="1" applyAlignment="1">
      <alignment horizontal="center" vertical="center" wrapText="1"/>
    </xf>
    <xf numFmtId="164" fontId="5" fillId="0" borderId="1" xfId="1" applyFont="1" applyFill="1" applyBorder="1" applyAlignment="1">
      <alignment horizontal="center" vertical="center"/>
    </xf>
    <xf numFmtId="166" fontId="12" fillId="0" borderId="1" xfId="0" applyNumberFormat="1" applyFont="1" applyFill="1" applyBorder="1" applyAlignment="1">
      <alignment horizontal="center" vertical="center" wrapText="1"/>
    </xf>
    <xf numFmtId="164" fontId="0" fillId="0" borderId="0" xfId="1" applyFont="1" applyAlignment="1">
      <alignment horizontal="center" vertical="center" wrapText="1"/>
    </xf>
    <xf numFmtId="171" fontId="1" fillId="3" borderId="1" xfId="0" applyNumberFormat="1" applyFont="1" applyFill="1" applyBorder="1" applyAlignment="1">
      <alignment horizontal="center" vertical="center" wrapText="1"/>
    </xf>
    <xf numFmtId="171" fontId="12" fillId="0" borderId="24" xfId="0" applyNumberFormat="1" applyFont="1" applyFill="1" applyBorder="1" applyAlignment="1">
      <alignment horizontal="center" vertical="center" wrapText="1"/>
    </xf>
    <xf numFmtId="171" fontId="10" fillId="0" borderId="0" xfId="0" applyNumberFormat="1" applyFont="1" applyFill="1" applyBorder="1" applyAlignment="1">
      <alignment horizontal="center" vertical="center" textRotation="90" wrapText="1"/>
    </xf>
    <xf numFmtId="171" fontId="0" fillId="0" borderId="0" xfId="0" applyNumberFormat="1"/>
    <xf numFmtId="164" fontId="6" fillId="0" borderId="0" xfId="1" applyFont="1"/>
    <xf numFmtId="10" fontId="0" fillId="0" borderId="0" xfId="2" applyNumberFormat="1" applyFont="1" applyAlignment="1">
      <alignment horizontal="center" vertical="center" wrapText="1"/>
    </xf>
    <xf numFmtId="2" fontId="0" fillId="0" borderId="0" xfId="0" applyNumberFormat="1"/>
    <xf numFmtId="0" fontId="0" fillId="0" borderId="0" xfId="0" applyAlignment="1">
      <alignment wrapText="1"/>
    </xf>
    <xf numFmtId="164" fontId="15" fillId="9" borderId="1" xfId="1" applyFont="1" applyFill="1" applyBorder="1" applyAlignment="1" applyProtection="1">
      <alignment vertical="center"/>
      <protection locked="0"/>
    </xf>
    <xf numFmtId="164" fontId="15" fillId="9" borderId="11" xfId="1" applyFont="1" applyFill="1" applyBorder="1" applyAlignment="1" applyProtection="1">
      <alignment vertical="center"/>
      <protection locked="0"/>
    </xf>
    <xf numFmtId="2" fontId="1" fillId="9" borderId="1" xfId="0" applyNumberFormat="1" applyFont="1" applyFill="1" applyBorder="1" applyAlignment="1" applyProtection="1">
      <alignment horizontal="center" vertical="center"/>
      <protection locked="0"/>
    </xf>
    <xf numFmtId="2" fontId="1" fillId="9" borderId="11" xfId="0" applyNumberFormat="1" applyFont="1" applyFill="1" applyBorder="1" applyAlignment="1" applyProtection="1">
      <alignment horizontal="center" vertical="center"/>
      <protection locked="0"/>
    </xf>
    <xf numFmtId="164" fontId="15" fillId="9" borderId="13" xfId="1" applyFont="1" applyFill="1" applyBorder="1" applyAlignment="1" applyProtection="1">
      <alignment vertical="center"/>
      <protection locked="0"/>
    </xf>
    <xf numFmtId="10" fontId="1" fillId="7" borderId="13" xfId="0" quotePrefix="1" applyNumberFormat="1" applyFont="1" applyFill="1" applyBorder="1" applyAlignment="1">
      <alignment horizontal="center" vertical="center"/>
    </xf>
    <xf numFmtId="167" fontId="1" fillId="7" borderId="13" xfId="0" applyNumberFormat="1" applyFont="1" applyFill="1" applyBorder="1" applyAlignment="1">
      <alignment horizontal="center" vertical="center"/>
    </xf>
    <xf numFmtId="2" fontId="1" fillId="9" borderId="13" xfId="0" applyNumberFormat="1" applyFont="1" applyFill="1" applyBorder="1" applyAlignment="1" applyProtection="1">
      <alignment horizontal="center" vertical="center"/>
      <protection locked="0"/>
    </xf>
    <xf numFmtId="0" fontId="1" fillId="8" borderId="2" xfId="0" applyFont="1" applyFill="1" applyBorder="1" applyAlignment="1">
      <alignment horizontal="center" vertical="center" wrapText="1"/>
    </xf>
    <xf numFmtId="164" fontId="1" fillId="4" borderId="14" xfId="0" applyNumberFormat="1" applyFont="1" applyFill="1" applyBorder="1" applyAlignment="1">
      <alignment horizontal="center" vertical="center"/>
    </xf>
    <xf numFmtId="164" fontId="15" fillId="0" borderId="37" xfId="1" applyFont="1" applyFill="1" applyBorder="1" applyAlignment="1">
      <alignment vertical="center"/>
    </xf>
    <xf numFmtId="164" fontId="15" fillId="0" borderId="37" xfId="1" applyFont="1" applyFill="1" applyBorder="1" applyAlignment="1" applyProtection="1">
      <alignment vertical="center"/>
      <protection locked="0"/>
    </xf>
    <xf numFmtId="10" fontId="1" fillId="0" borderId="37" xfId="0" quotePrefix="1" applyNumberFormat="1" applyFont="1" applyFill="1" applyBorder="1" applyAlignment="1">
      <alignment horizontal="center" vertical="center"/>
    </xf>
    <xf numFmtId="0" fontId="1" fillId="0" borderId="37" xfId="0" applyFont="1" applyFill="1" applyBorder="1" applyAlignment="1" applyProtection="1">
      <alignment horizontal="center" vertical="center"/>
    </xf>
    <xf numFmtId="167" fontId="1" fillId="0" borderId="37" xfId="0" applyNumberFormat="1" applyFont="1" applyFill="1" applyBorder="1" applyAlignment="1">
      <alignment horizontal="center" vertical="center"/>
    </xf>
    <xf numFmtId="2" fontId="1" fillId="0" borderId="37" xfId="0" applyNumberFormat="1" applyFont="1" applyFill="1" applyBorder="1" applyAlignment="1" applyProtection="1">
      <alignment horizontal="center" vertical="center"/>
      <protection locked="0"/>
    </xf>
    <xf numFmtId="0" fontId="8" fillId="0" borderId="21" xfId="0" applyFont="1" applyBorder="1" applyAlignment="1">
      <alignment horizontal="center" wrapText="1"/>
    </xf>
    <xf numFmtId="0" fontId="8" fillId="0" borderId="0" xfId="0" applyFont="1" applyBorder="1" applyAlignment="1">
      <alignment horizontal="center" wrapText="1"/>
    </xf>
    <xf numFmtId="0" fontId="1" fillId="4" borderId="1" xfId="0" applyFont="1" applyFill="1" applyBorder="1" applyAlignment="1">
      <alignment horizontal="center" vertical="center" wrapText="1"/>
    </xf>
    <xf numFmtId="0" fontId="7" fillId="0" borderId="12" xfId="0" applyFont="1" applyBorder="1" applyAlignment="1">
      <alignment horizontal="left"/>
    </xf>
    <xf numFmtId="0" fontId="8" fillId="0" borderId="0" xfId="0" applyFont="1" applyBorder="1" applyAlignment="1">
      <alignment horizontal="left" wrapText="1"/>
    </xf>
    <xf numFmtId="0" fontId="9" fillId="3" borderId="1" xfId="0" applyFont="1" applyFill="1" applyBorder="1" applyAlignment="1">
      <alignment horizontal="left" vertical="center" wrapText="1"/>
    </xf>
    <xf numFmtId="0" fontId="2" fillId="6" borderId="1" xfId="0" applyFont="1" applyFill="1" applyBorder="1" applyAlignment="1">
      <alignment horizontal="left" vertical="center" wrapText="1"/>
    </xf>
    <xf numFmtId="0" fontId="10" fillId="0" borderId="0" xfId="0" applyFont="1" applyFill="1" applyBorder="1" applyAlignment="1">
      <alignment horizontal="left" vertical="center" textRotation="90" wrapText="1"/>
    </xf>
    <xf numFmtId="0" fontId="0" fillId="0" borderId="0" xfId="0" applyAlignment="1">
      <alignment horizontal="left"/>
    </xf>
    <xf numFmtId="0" fontId="4" fillId="0" borderId="26" xfId="0" applyFont="1" applyFill="1" applyBorder="1" applyAlignment="1">
      <alignment horizontal="left" vertical="center" wrapText="1"/>
    </xf>
    <xf numFmtId="0" fontId="9" fillId="13" borderId="15"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3" borderId="32" xfId="0" applyFont="1" applyFill="1" applyBorder="1" applyAlignment="1">
      <alignment horizontal="center" vertical="center" wrapText="1"/>
    </xf>
    <xf numFmtId="0" fontId="2" fillId="13" borderId="41" xfId="0" applyFont="1" applyFill="1" applyBorder="1" applyAlignment="1" applyProtection="1">
      <alignment horizontal="center" vertical="center"/>
      <protection locked="0"/>
    </xf>
    <xf numFmtId="0" fontId="2" fillId="13" borderId="44" xfId="0" applyFont="1" applyFill="1" applyBorder="1" applyAlignment="1" applyProtection="1">
      <alignment horizontal="center" vertical="center"/>
      <protection locked="0"/>
    </xf>
    <xf numFmtId="0" fontId="2" fillId="13" borderId="15" xfId="0" applyFont="1" applyFill="1" applyBorder="1" applyAlignment="1" applyProtection="1">
      <alignment horizontal="center" vertical="center"/>
      <protection locked="0"/>
    </xf>
    <xf numFmtId="0" fontId="2" fillId="13" borderId="36" xfId="0" applyFont="1" applyFill="1" applyBorder="1" applyAlignment="1" applyProtection="1">
      <alignment horizontal="center" vertical="center"/>
      <protection locked="0"/>
    </xf>
    <xf numFmtId="0" fontId="9" fillId="14" borderId="15"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1" fillId="14" borderId="32" xfId="0" applyFont="1" applyFill="1" applyBorder="1" applyAlignment="1">
      <alignment horizontal="center" vertical="center" wrapText="1"/>
    </xf>
    <xf numFmtId="0" fontId="2" fillId="14" borderId="44" xfId="0" applyFont="1" applyFill="1" applyBorder="1" applyAlignment="1" applyProtection="1">
      <alignment horizontal="center" vertical="center"/>
      <protection locked="0"/>
    </xf>
    <xf numFmtId="0" fontId="9" fillId="4" borderId="15" xfId="0" applyFont="1" applyFill="1" applyBorder="1" applyAlignment="1">
      <alignment horizontal="center" vertical="center" wrapText="1"/>
    </xf>
    <xf numFmtId="0" fontId="1" fillId="4" borderId="32" xfId="0" applyFont="1" applyFill="1" applyBorder="1" applyAlignment="1">
      <alignment horizontal="center" vertical="center" wrapText="1"/>
    </xf>
    <xf numFmtId="0" fontId="2" fillId="4" borderId="44" xfId="0" applyFont="1" applyFill="1" applyBorder="1" applyAlignment="1" applyProtection="1">
      <alignment horizontal="center" vertical="center"/>
      <protection locked="0"/>
    </xf>
    <xf numFmtId="0" fontId="1" fillId="12" borderId="1" xfId="0" applyFont="1" applyFill="1" applyBorder="1" applyAlignment="1">
      <alignment horizontal="center" vertical="center" wrapText="1"/>
    </xf>
    <xf numFmtId="0" fontId="9" fillId="12" borderId="15" xfId="0" applyFont="1" applyFill="1" applyBorder="1" applyAlignment="1">
      <alignment horizontal="center" vertical="center" wrapText="1"/>
    </xf>
    <xf numFmtId="0" fontId="1" fillId="12" borderId="32" xfId="0" applyFont="1" applyFill="1" applyBorder="1" applyAlignment="1">
      <alignment horizontal="center" vertical="center" wrapText="1"/>
    </xf>
    <xf numFmtId="0" fontId="2" fillId="12" borderId="44" xfId="0" applyFont="1" applyFill="1" applyBorder="1" applyAlignment="1" applyProtection="1">
      <alignment horizontal="center" vertical="center"/>
      <protection locked="0"/>
    </xf>
    <xf numFmtId="0" fontId="9" fillId="15" borderId="15"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 fillId="15" borderId="32" xfId="0" applyFont="1" applyFill="1" applyBorder="1" applyAlignment="1">
      <alignment horizontal="center" vertical="center" wrapText="1"/>
    </xf>
    <xf numFmtId="0" fontId="2" fillId="15" borderId="44" xfId="0" applyFont="1" applyFill="1" applyBorder="1" applyAlignment="1" applyProtection="1">
      <alignment horizontal="center" vertical="center"/>
      <protection locked="0"/>
    </xf>
    <xf numFmtId="0" fontId="2" fillId="0" borderId="0" xfId="0" applyFont="1" applyBorder="1" applyAlignment="1" applyProtection="1">
      <alignment horizontal="center" vertical="center"/>
      <protection hidden="1"/>
    </xf>
    <xf numFmtId="0" fontId="2" fillId="0" borderId="0" xfId="0" applyFont="1" applyProtection="1">
      <protection hidden="1"/>
    </xf>
    <xf numFmtId="0" fontId="1" fillId="2" borderId="1"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center" vertical="center" wrapText="1"/>
      <protection hidden="1"/>
    </xf>
    <xf numFmtId="0" fontId="4" fillId="0" borderId="1" xfId="0" applyFont="1" applyFill="1" applyBorder="1" applyAlignment="1" applyProtection="1">
      <alignment horizontal="center" vertical="center" wrapText="1"/>
      <protection hidden="1"/>
    </xf>
    <xf numFmtId="0" fontId="4" fillId="0" borderId="1" xfId="0" applyFont="1" applyFill="1" applyBorder="1" applyAlignment="1" applyProtection="1">
      <alignment vertical="center" wrapText="1"/>
      <protection hidden="1"/>
    </xf>
    <xf numFmtId="2" fontId="5" fillId="0" borderId="1" xfId="0" applyNumberFormat="1" applyFont="1" applyFill="1" applyBorder="1" applyAlignment="1" applyProtection="1">
      <alignment horizontal="center" vertical="center" shrinkToFit="1"/>
      <protection hidden="1"/>
    </xf>
    <xf numFmtId="2" fontId="5" fillId="0" borderId="0" xfId="0" applyNumberFormat="1" applyFont="1" applyFill="1" applyBorder="1" applyAlignment="1" applyProtection="1">
      <alignment horizontal="center" vertical="center" shrinkToFit="1"/>
      <protection hidden="1"/>
    </xf>
    <xf numFmtId="0" fontId="2" fillId="0" borderId="15" xfId="0" applyFont="1" applyBorder="1" applyAlignment="1" applyProtection="1">
      <alignment horizontal="left" vertical="center" wrapText="1" indent="1"/>
      <protection hidden="1"/>
    </xf>
    <xf numFmtId="0" fontId="2" fillId="0" borderId="1" xfId="0" applyFont="1" applyBorder="1" applyAlignment="1" applyProtection="1">
      <alignment horizontal="left" vertical="center" wrapText="1" indent="1"/>
      <protection hidden="1"/>
    </xf>
    <xf numFmtId="0" fontId="4" fillId="0" borderId="1" xfId="0" applyFont="1" applyFill="1" applyBorder="1" applyAlignment="1" applyProtection="1">
      <alignment horizontal="left" vertical="center" wrapText="1"/>
      <protection hidden="1"/>
    </xf>
    <xf numFmtId="0" fontId="2" fillId="0" borderId="0" xfId="0" applyFont="1" applyBorder="1" applyAlignment="1" applyProtection="1">
      <alignment horizontal="left" vertical="center" wrapText="1" indent="1"/>
      <protection hidden="1"/>
    </xf>
    <xf numFmtId="0" fontId="4" fillId="0" borderId="2" xfId="0" applyFont="1" applyFill="1" applyBorder="1" applyAlignment="1" applyProtection="1">
      <alignment vertical="center" wrapText="1"/>
      <protection hidden="1"/>
    </xf>
    <xf numFmtId="0" fontId="2" fillId="0" borderId="16" xfId="0" applyFont="1" applyBorder="1" applyAlignment="1" applyProtection="1">
      <alignment horizontal="left" vertical="center" wrapText="1" indent="1"/>
      <protection hidden="1"/>
    </xf>
    <xf numFmtId="0" fontId="2" fillId="0" borderId="17" xfId="0" applyFont="1" applyBorder="1" applyAlignment="1" applyProtection="1">
      <alignment horizontal="left" vertical="center" wrapText="1" indent="1"/>
      <protection hidden="1"/>
    </xf>
    <xf numFmtId="0" fontId="0" fillId="0" borderId="0" xfId="0" applyProtection="1">
      <protection hidden="1"/>
    </xf>
    <xf numFmtId="0" fontId="2" fillId="0" borderId="0" xfId="0" applyFont="1" applyAlignment="1" applyProtection="1">
      <alignment horizontal="center" vertical="center"/>
      <protection hidden="1"/>
    </xf>
    <xf numFmtId="0" fontId="2" fillId="0" borderId="0" xfId="0" applyFont="1" applyAlignment="1" applyProtection="1">
      <alignment vertical="center"/>
      <protection hidden="1"/>
    </xf>
    <xf numFmtId="0" fontId="2" fillId="0" borderId="0" xfId="0" applyFont="1" applyBorder="1" applyAlignment="1" applyProtection="1">
      <alignment vertical="center"/>
      <protection hidden="1"/>
    </xf>
    <xf numFmtId="0" fontId="1" fillId="13" borderId="1"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 fillId="9" borderId="1" xfId="0" applyFont="1" applyFill="1" applyBorder="1" applyAlignment="1" applyProtection="1">
      <alignment horizontal="center" vertical="center"/>
      <protection locked="0" hidden="1"/>
    </xf>
    <xf numFmtId="0" fontId="1" fillId="9" borderId="1" xfId="0" applyFont="1" applyFill="1" applyBorder="1" applyAlignment="1" applyProtection="1">
      <alignment horizontal="center" vertical="center"/>
      <protection locked="0"/>
    </xf>
    <xf numFmtId="0" fontId="1" fillId="9" borderId="11" xfId="0" applyFont="1" applyFill="1" applyBorder="1" applyAlignment="1" applyProtection="1">
      <alignment horizontal="center" vertical="center"/>
      <protection locked="0"/>
    </xf>
    <xf numFmtId="0" fontId="1" fillId="9" borderId="13" xfId="0" applyFont="1" applyFill="1" applyBorder="1" applyAlignment="1" applyProtection="1">
      <alignment horizontal="center" vertical="center"/>
      <protection locked="0"/>
    </xf>
    <xf numFmtId="0" fontId="2" fillId="15" borderId="15" xfId="0" applyFont="1" applyFill="1" applyBorder="1" applyAlignment="1" applyProtection="1">
      <alignment horizontal="center" vertical="center"/>
      <protection locked="0"/>
    </xf>
    <xf numFmtId="0" fontId="4" fillId="0" borderId="4" xfId="0" applyFont="1" applyFill="1" applyBorder="1" applyAlignment="1">
      <alignment horizontal="left" vertical="center" wrapText="1"/>
    </xf>
    <xf numFmtId="169" fontId="0" fillId="0" borderId="0" xfId="0" applyNumberFormat="1"/>
    <xf numFmtId="164" fontId="21" fillId="0" borderId="1" xfId="1" applyFont="1" applyFill="1" applyBorder="1" applyAlignment="1">
      <alignment horizontal="center" vertical="center"/>
    </xf>
    <xf numFmtId="0" fontId="8" fillId="0" borderId="0" xfId="0" applyFont="1" applyAlignment="1"/>
    <xf numFmtId="169" fontId="8" fillId="0" borderId="0" xfId="0" applyNumberFormat="1" applyFont="1" applyAlignment="1"/>
    <xf numFmtId="10" fontId="7" fillId="0" borderId="0" xfId="2" applyNumberFormat="1" applyFont="1"/>
    <xf numFmtId="164" fontId="8" fillId="0" borderId="1" xfId="0" applyNumberFormat="1" applyFont="1" applyBorder="1"/>
    <xf numFmtId="0" fontId="8" fillId="0" borderId="1" xfId="0" applyFont="1" applyBorder="1" applyAlignment="1">
      <alignment vertical="center"/>
    </xf>
    <xf numFmtId="0" fontId="0" fillId="0" borderId="1" xfId="0" applyBorder="1"/>
    <xf numFmtId="164" fontId="0" fillId="0" borderId="1" xfId="0" applyNumberFormat="1" applyBorder="1"/>
    <xf numFmtId="44" fontId="7" fillId="0" borderId="0" xfId="0" applyNumberFormat="1" applyFont="1"/>
    <xf numFmtId="10" fontId="8" fillId="5" borderId="13" xfId="2" applyNumberFormat="1" applyFont="1" applyFill="1" applyBorder="1"/>
    <xf numFmtId="171" fontId="0" fillId="0" borderId="0" xfId="2" applyNumberFormat="1" applyFont="1"/>
    <xf numFmtId="9" fontId="5" fillId="2" borderId="2" xfId="2" applyFont="1" applyFill="1" applyBorder="1" applyAlignment="1" applyProtection="1">
      <alignment horizontal="center" vertical="center" wrapText="1"/>
      <protection hidden="1"/>
    </xf>
    <xf numFmtId="0" fontId="2" fillId="0" borderId="30" xfId="0" applyFont="1" applyBorder="1" applyAlignment="1" applyProtection="1">
      <alignment horizontal="left" vertical="center" wrapText="1" indent="1"/>
      <protection hidden="1"/>
    </xf>
    <xf numFmtId="0" fontId="2" fillId="0" borderId="31" xfId="0" applyFont="1" applyBorder="1" applyAlignment="1" applyProtection="1">
      <alignment horizontal="left" vertical="center" wrapText="1" indent="1"/>
      <protection hidden="1"/>
    </xf>
    <xf numFmtId="0" fontId="15" fillId="4" borderId="32" xfId="0" applyFont="1" applyFill="1" applyBorder="1" applyAlignment="1" applyProtection="1">
      <alignment horizontal="center" vertical="center" wrapText="1"/>
      <protection hidden="1"/>
    </xf>
    <xf numFmtId="2" fontId="14" fillId="0" borderId="1" xfId="0" applyNumberFormat="1" applyFont="1" applyFill="1" applyBorder="1" applyAlignment="1">
      <alignment horizontal="center" vertical="center" shrinkToFit="1"/>
    </xf>
    <xf numFmtId="2" fontId="14" fillId="0" borderId="1" xfId="0" applyNumberFormat="1" applyFont="1" applyFill="1" applyBorder="1" applyAlignment="1">
      <alignment horizontal="center" vertical="center" shrinkToFit="1"/>
    </xf>
    <xf numFmtId="0" fontId="12" fillId="11" borderId="19" xfId="0" applyFont="1" applyFill="1" applyBorder="1" applyAlignment="1">
      <alignment horizontal="center" vertical="center" wrapText="1"/>
    </xf>
    <xf numFmtId="0" fontId="17" fillId="0" borderId="0" xfId="0" applyFont="1"/>
    <xf numFmtId="0" fontId="17" fillId="3" borderId="1" xfId="0" applyFont="1" applyFill="1" applyBorder="1" applyAlignment="1">
      <alignment horizontal="center" vertical="center" wrapText="1"/>
    </xf>
    <xf numFmtId="0" fontId="24" fillId="0" borderId="53" xfId="0" applyFont="1" applyFill="1" applyBorder="1" applyAlignment="1">
      <alignment horizontal="left" vertical="center" wrapText="1"/>
    </xf>
    <xf numFmtId="0" fontId="17" fillId="0" borderId="1" xfId="0" applyFont="1" applyFill="1" applyBorder="1" applyAlignment="1" applyProtection="1">
      <alignment horizontal="center" vertical="center"/>
      <protection locked="0"/>
    </xf>
    <xf numFmtId="172" fontId="17" fillId="0" borderId="1" xfId="1" applyNumberFormat="1" applyFont="1" applyFill="1" applyBorder="1" applyAlignment="1">
      <alignment horizontal="center"/>
    </xf>
    <xf numFmtId="170" fontId="17" fillId="0" borderId="1" xfId="1" applyNumberFormat="1" applyFont="1" applyFill="1" applyBorder="1" applyAlignment="1">
      <alignment horizontal="center"/>
    </xf>
    <xf numFmtId="164" fontId="25" fillId="0" borderId="1" xfId="1" applyFont="1" applyFill="1" applyBorder="1" applyAlignment="1">
      <alignment horizontal="center" vertical="center"/>
    </xf>
    <xf numFmtId="10" fontId="17" fillId="0" borderId="1" xfId="2" applyNumberFormat="1" applyFont="1" applyFill="1" applyBorder="1"/>
    <xf numFmtId="10" fontId="17" fillId="0" borderId="1" xfId="2" applyNumberFormat="1" applyFont="1" applyFill="1" applyBorder="1" applyAlignment="1">
      <alignment vertical="center"/>
    </xf>
    <xf numFmtId="0" fontId="24" fillId="0" borderId="62" xfId="0" applyFont="1" applyFill="1" applyBorder="1" applyAlignment="1">
      <alignment horizontal="left" vertical="center" wrapText="1"/>
    </xf>
    <xf numFmtId="0" fontId="17" fillId="0" borderId="1" xfId="0" applyFont="1" applyFill="1" applyBorder="1" applyAlignment="1" applyProtection="1">
      <alignment horizontal="center" vertical="center"/>
      <protection locked="0"/>
    </xf>
    <xf numFmtId="0" fontId="24" fillId="0" borderId="1" xfId="0" applyFont="1" applyFill="1" applyBorder="1" applyAlignment="1">
      <alignment vertical="center" wrapText="1"/>
    </xf>
    <xf numFmtId="164" fontId="25" fillId="0" borderId="1" xfId="1" applyFont="1" applyFill="1" applyBorder="1" applyAlignment="1">
      <alignment horizontal="center" vertical="center"/>
    </xf>
    <xf numFmtId="10" fontId="12" fillId="0" borderId="63" xfId="0" applyNumberFormat="1" applyFont="1" applyBorder="1" applyAlignment="1">
      <alignment horizontal="center" vertical="center"/>
    </xf>
    <xf numFmtId="164" fontId="12" fillId="0" borderId="1" xfId="0" applyNumberFormat="1" applyFont="1" applyBorder="1" applyAlignment="1">
      <alignment horizontal="center" vertical="center"/>
    </xf>
    <xf numFmtId="10" fontId="12" fillId="0" borderId="1" xfId="2" applyNumberFormat="1" applyFont="1" applyBorder="1" applyAlignment="1">
      <alignment horizontal="center" vertical="center"/>
    </xf>
    <xf numFmtId="169" fontId="2" fillId="0" borderId="0" xfId="0" applyNumberFormat="1" applyFont="1" applyProtection="1">
      <protection hidden="1"/>
    </xf>
    <xf numFmtId="166" fontId="5" fillId="0" borderId="31" xfId="0" applyNumberFormat="1" applyFont="1" applyFill="1" applyBorder="1" applyAlignment="1" applyProtection="1">
      <alignment horizontal="center" vertical="center" shrinkToFit="1"/>
    </xf>
    <xf numFmtId="0" fontId="2" fillId="13" borderId="41" xfId="0" applyFont="1" applyFill="1" applyBorder="1" applyAlignment="1" applyProtection="1">
      <alignment horizontal="center" vertical="center"/>
    </xf>
    <xf numFmtId="166" fontId="12" fillId="13" borderId="24" xfId="0" applyNumberFormat="1" applyFont="1" applyFill="1" applyBorder="1" applyAlignment="1" applyProtection="1">
      <alignment horizontal="center" vertical="center" wrapText="1"/>
    </xf>
    <xf numFmtId="0" fontId="2" fillId="13" borderId="46" xfId="0" applyFont="1" applyFill="1" applyBorder="1" applyAlignment="1" applyProtection="1">
      <alignment horizontal="center" vertical="center"/>
    </xf>
    <xf numFmtId="0" fontId="2" fillId="14" borderId="41" xfId="0" applyFont="1" applyFill="1" applyBorder="1" applyAlignment="1" applyProtection="1">
      <alignment horizontal="center" vertical="center"/>
    </xf>
    <xf numFmtId="166" fontId="12" fillId="14" borderId="24" xfId="0" applyNumberFormat="1" applyFont="1" applyFill="1" applyBorder="1" applyAlignment="1" applyProtection="1">
      <alignment horizontal="center" vertical="center" wrapText="1"/>
    </xf>
    <xf numFmtId="0" fontId="2" fillId="14" borderId="46" xfId="0" applyFont="1" applyFill="1" applyBorder="1" applyAlignment="1" applyProtection="1">
      <alignment horizontal="center" vertical="center"/>
    </xf>
    <xf numFmtId="0" fontId="2" fillId="4" borderId="41" xfId="0" applyFont="1" applyFill="1" applyBorder="1" applyAlignment="1" applyProtection="1">
      <alignment horizontal="center" vertical="center"/>
    </xf>
    <xf numFmtId="166" fontId="12" fillId="4" borderId="24" xfId="0" applyNumberFormat="1"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xf>
    <xf numFmtId="0" fontId="2" fillId="12" borderId="41" xfId="0" applyFont="1" applyFill="1" applyBorder="1" applyAlignment="1" applyProtection="1">
      <alignment horizontal="center" vertical="center"/>
    </xf>
    <xf numFmtId="166" fontId="12" fillId="12" borderId="56" xfId="0" applyNumberFormat="1" applyFont="1" applyFill="1" applyBorder="1" applyAlignment="1" applyProtection="1">
      <alignment horizontal="center" vertical="center" wrapText="1"/>
    </xf>
    <xf numFmtId="166" fontId="12" fillId="12" borderId="24" xfId="0" applyNumberFormat="1" applyFont="1" applyFill="1" applyBorder="1" applyAlignment="1" applyProtection="1">
      <alignment horizontal="center" vertical="center" wrapText="1"/>
    </xf>
    <xf numFmtId="166" fontId="12" fillId="12" borderId="48" xfId="0" applyNumberFormat="1" applyFont="1" applyFill="1" applyBorder="1" applyAlignment="1" applyProtection="1">
      <alignment horizontal="center" vertical="center" wrapText="1"/>
    </xf>
    <xf numFmtId="0" fontId="2" fillId="12" borderId="46" xfId="0" applyFont="1" applyFill="1" applyBorder="1" applyAlignment="1" applyProtection="1">
      <alignment horizontal="center" vertical="center"/>
    </xf>
    <xf numFmtId="0" fontId="2" fillId="12" borderId="51" xfId="0" applyFont="1" applyFill="1" applyBorder="1" applyAlignment="1" applyProtection="1">
      <alignment horizontal="center" vertical="center"/>
    </xf>
    <xf numFmtId="0" fontId="2" fillId="15" borderId="41" xfId="0" applyFont="1" applyFill="1" applyBorder="1" applyAlignment="1" applyProtection="1">
      <alignment horizontal="center" vertical="center"/>
    </xf>
    <xf numFmtId="0" fontId="2" fillId="15" borderId="51" xfId="0" applyFont="1" applyFill="1" applyBorder="1" applyAlignment="1" applyProtection="1">
      <alignment horizontal="center" vertical="center"/>
    </xf>
    <xf numFmtId="0" fontId="2" fillId="4" borderId="48" xfId="0" applyFont="1" applyFill="1" applyBorder="1" applyAlignment="1" applyProtection="1">
      <alignment horizontal="center" vertical="center"/>
    </xf>
    <xf numFmtId="0" fontId="2" fillId="4" borderId="49" xfId="0" applyFont="1" applyFill="1" applyBorder="1" applyAlignment="1" applyProtection="1">
      <alignment horizontal="center" vertical="center"/>
    </xf>
    <xf numFmtId="0" fontId="2" fillId="12" borderId="48" xfId="0" applyFont="1" applyFill="1" applyBorder="1" applyAlignment="1" applyProtection="1">
      <alignment horizontal="center" vertical="center"/>
    </xf>
    <xf numFmtId="0" fontId="2" fillId="12" borderId="49" xfId="0" applyFont="1" applyFill="1" applyBorder="1" applyAlignment="1" applyProtection="1">
      <alignment horizontal="center" vertical="center"/>
    </xf>
    <xf numFmtId="164" fontId="8" fillId="0" borderId="14" xfId="0" applyNumberFormat="1" applyFont="1" applyBorder="1"/>
    <xf numFmtId="0" fontId="2" fillId="13" borderId="51" xfId="0" applyFont="1" applyFill="1" applyBorder="1" applyAlignment="1" applyProtection="1">
      <alignment horizontal="center" vertical="center"/>
    </xf>
    <xf numFmtId="0" fontId="2" fillId="13" borderId="64" xfId="0" applyFont="1" applyFill="1" applyBorder="1" applyAlignment="1" applyProtection="1">
      <alignment horizontal="center" vertical="center"/>
    </xf>
    <xf numFmtId="164" fontId="5" fillId="0" borderId="0" xfId="1" applyFont="1" applyFill="1" applyBorder="1" applyAlignment="1">
      <alignment vertical="center"/>
    </xf>
    <xf numFmtId="164" fontId="28" fillId="0" borderId="1" xfId="1" applyFont="1" applyFill="1" applyBorder="1" applyAlignment="1">
      <alignment horizontal="center" vertical="center"/>
    </xf>
    <xf numFmtId="166" fontId="5" fillId="0" borderId="1" xfId="0" applyNumberFormat="1" applyFont="1" applyFill="1" applyBorder="1" applyAlignment="1" applyProtection="1">
      <alignment horizontal="center" vertical="center" shrinkToFit="1"/>
    </xf>
    <xf numFmtId="166" fontId="5" fillId="0" borderId="17" xfId="0" applyNumberFormat="1" applyFont="1" applyFill="1" applyBorder="1" applyAlignment="1" applyProtection="1">
      <alignment horizontal="center" vertical="center" shrinkToFit="1"/>
    </xf>
    <xf numFmtId="169" fontId="15" fillId="4" borderId="55" xfId="1" applyNumberFormat="1" applyFont="1" applyFill="1" applyBorder="1" applyAlignment="1" applyProtection="1">
      <alignment vertical="center" wrapText="1"/>
    </xf>
    <xf numFmtId="0" fontId="2" fillId="0" borderId="20" xfId="0" applyFont="1" applyBorder="1" applyAlignment="1" applyProtection="1">
      <alignment horizontal="left" vertical="center" wrapText="1" indent="1"/>
      <protection hidden="1"/>
    </xf>
    <xf numFmtId="0" fontId="2" fillId="0" borderId="2" xfId="0" applyFont="1" applyBorder="1" applyAlignment="1" applyProtection="1">
      <alignment horizontal="left" vertical="center" wrapText="1" indent="1"/>
      <protection hidden="1"/>
    </xf>
    <xf numFmtId="166" fontId="5" fillId="0" borderId="2" xfId="0" applyNumberFormat="1" applyFont="1" applyFill="1" applyBorder="1" applyAlignment="1" applyProtection="1">
      <alignment horizontal="center" vertical="center" shrinkToFit="1"/>
    </xf>
    <xf numFmtId="167" fontId="5" fillId="4" borderId="52" xfId="0" applyNumberFormat="1" applyFont="1" applyFill="1" applyBorder="1" applyAlignment="1" applyProtection="1">
      <alignment horizontal="center" vertical="center" shrinkToFit="1"/>
    </xf>
    <xf numFmtId="167" fontId="5" fillId="4" borderId="32" xfId="0" applyNumberFormat="1" applyFont="1" applyFill="1" applyBorder="1" applyAlignment="1" applyProtection="1">
      <alignment horizontal="center" vertical="center" shrinkToFit="1"/>
    </xf>
    <xf numFmtId="167" fontId="5" fillId="4" borderId="55" xfId="0" applyNumberFormat="1" applyFont="1" applyFill="1" applyBorder="1" applyAlignment="1" applyProtection="1">
      <alignment horizontal="center" vertical="center" shrinkToFit="1"/>
    </xf>
    <xf numFmtId="167" fontId="5" fillId="4" borderId="33" xfId="0" applyNumberFormat="1" applyFont="1" applyFill="1" applyBorder="1" applyAlignment="1" applyProtection="1">
      <alignment horizontal="center" vertical="center" shrinkToFit="1"/>
    </xf>
    <xf numFmtId="0" fontId="1" fillId="3" borderId="1"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2" fontId="2" fillId="0" borderId="0" xfId="0" applyNumberFormat="1" applyFont="1" applyProtection="1">
      <protection hidden="1"/>
    </xf>
    <xf numFmtId="0" fontId="6" fillId="13" borderId="1" xfId="0" applyNumberFormat="1" applyFont="1" applyFill="1" applyBorder="1" applyAlignment="1" applyProtection="1">
      <alignment horizontal="center"/>
      <protection locked="0"/>
    </xf>
    <xf numFmtId="164" fontId="6" fillId="13" borderId="32" xfId="1" applyFont="1" applyFill="1" applyBorder="1" applyAlignment="1">
      <alignment horizontal="center"/>
    </xf>
    <xf numFmtId="0" fontId="6" fillId="14" borderId="1" xfId="0" applyNumberFormat="1" applyFont="1" applyFill="1" applyBorder="1" applyAlignment="1" applyProtection="1">
      <alignment horizontal="center"/>
      <protection locked="0"/>
    </xf>
    <xf numFmtId="164" fontId="6" fillId="14" borderId="32" xfId="1" applyFont="1" applyFill="1" applyBorder="1" applyAlignment="1">
      <alignment horizontal="center"/>
    </xf>
    <xf numFmtId="0" fontId="6" fillId="4" borderId="1" xfId="0" applyNumberFormat="1" applyFont="1" applyFill="1" applyBorder="1" applyAlignment="1" applyProtection="1">
      <alignment horizontal="center"/>
      <protection locked="0"/>
    </xf>
    <xf numFmtId="164" fontId="6" fillId="4" borderId="32" xfId="1" applyFont="1" applyFill="1" applyBorder="1" applyAlignment="1">
      <alignment horizontal="center"/>
    </xf>
    <xf numFmtId="0" fontId="6" fillId="12" borderId="1" xfId="0" applyNumberFormat="1" applyFont="1" applyFill="1" applyBorder="1" applyAlignment="1" applyProtection="1">
      <alignment horizontal="center"/>
      <protection locked="0"/>
    </xf>
    <xf numFmtId="164" fontId="6" fillId="12" borderId="32" xfId="1" applyFont="1" applyFill="1" applyBorder="1" applyAlignment="1">
      <alignment horizontal="center"/>
    </xf>
    <xf numFmtId="0" fontId="6" fillId="13" borderId="24" xfId="0" applyNumberFormat="1" applyFont="1" applyFill="1" applyBorder="1" applyAlignment="1" applyProtection="1">
      <alignment horizontal="center"/>
    </xf>
    <xf numFmtId="0" fontId="6" fillId="13" borderId="43" xfId="0" applyNumberFormat="1" applyFont="1" applyFill="1" applyBorder="1" applyAlignment="1" applyProtection="1">
      <alignment horizontal="center"/>
    </xf>
    <xf numFmtId="0" fontId="6" fillId="15" borderId="29" xfId="0" applyNumberFormat="1" applyFont="1" applyFill="1" applyBorder="1" applyAlignment="1" applyProtection="1">
      <alignment horizontal="center"/>
    </xf>
    <xf numFmtId="0" fontId="6" fillId="15" borderId="42" xfId="0" applyNumberFormat="1" applyFont="1" applyFill="1" applyBorder="1" applyAlignment="1" applyProtection="1">
      <alignment horizontal="center"/>
    </xf>
    <xf numFmtId="0" fontId="4" fillId="0" borderId="10"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6" fillId="14" borderId="24" xfId="0" applyNumberFormat="1" applyFont="1" applyFill="1" applyBorder="1" applyAlignment="1" applyProtection="1">
      <alignment horizontal="center"/>
    </xf>
    <xf numFmtId="0" fontId="6" fillId="14" borderId="43" xfId="0" applyNumberFormat="1" applyFont="1" applyFill="1" applyBorder="1" applyAlignment="1" applyProtection="1">
      <alignment horizontal="center"/>
    </xf>
    <xf numFmtId="0" fontId="6" fillId="4" borderId="24" xfId="0" applyNumberFormat="1" applyFont="1" applyFill="1" applyBorder="1" applyAlignment="1" applyProtection="1">
      <alignment horizontal="center"/>
    </xf>
    <xf numFmtId="0" fontId="6" fillId="4" borderId="43" xfId="0" applyNumberFormat="1" applyFont="1" applyFill="1" applyBorder="1" applyAlignment="1" applyProtection="1">
      <alignment horizontal="center"/>
    </xf>
    <xf numFmtId="0" fontId="6" fillId="12" borderId="24" xfId="0" applyNumberFormat="1" applyFont="1" applyFill="1" applyBorder="1" applyAlignment="1" applyProtection="1">
      <alignment horizontal="center"/>
    </xf>
    <xf numFmtId="0" fontId="6" fillId="12" borderId="43" xfId="0" applyNumberFormat="1" applyFont="1" applyFill="1" applyBorder="1" applyAlignment="1" applyProtection="1">
      <alignment horizontal="center"/>
    </xf>
    <xf numFmtId="0" fontId="6" fillId="15" borderId="24" xfId="0" applyNumberFormat="1" applyFont="1" applyFill="1" applyBorder="1" applyAlignment="1" applyProtection="1">
      <alignment horizontal="center"/>
    </xf>
    <xf numFmtId="0" fontId="6" fillId="15" borderId="43" xfId="0" applyNumberFormat="1" applyFont="1" applyFill="1" applyBorder="1" applyAlignment="1" applyProtection="1">
      <alignment horizontal="center"/>
    </xf>
    <xf numFmtId="164" fontId="6" fillId="13" borderId="32" xfId="1" applyFont="1" applyFill="1" applyBorder="1" applyAlignment="1" applyProtection="1">
      <alignment horizontal="center"/>
    </xf>
    <xf numFmtId="164" fontId="6" fillId="14" borderId="32" xfId="1" applyFont="1" applyFill="1" applyBorder="1" applyAlignment="1" applyProtection="1">
      <alignment horizontal="center"/>
    </xf>
    <xf numFmtId="164" fontId="6" fillId="4" borderId="32" xfId="1" applyFont="1" applyFill="1" applyBorder="1" applyAlignment="1" applyProtection="1">
      <alignment horizontal="center"/>
    </xf>
    <xf numFmtId="164" fontId="6" fillId="12" borderId="32" xfId="1" applyFont="1" applyFill="1" applyBorder="1" applyAlignment="1" applyProtection="1">
      <alignment horizontal="center"/>
    </xf>
    <xf numFmtId="0" fontId="6" fillId="15" borderId="1" xfId="0" applyNumberFormat="1" applyFont="1" applyFill="1" applyBorder="1" applyAlignment="1" applyProtection="1">
      <alignment horizontal="center"/>
      <protection locked="0"/>
    </xf>
    <xf numFmtId="164" fontId="6" fillId="15" borderId="32" xfId="1" applyFont="1" applyFill="1" applyBorder="1" applyAlignment="1">
      <alignment horizontal="center"/>
    </xf>
    <xf numFmtId="0" fontId="6" fillId="13" borderId="1" xfId="0" applyNumberFormat="1" applyFont="1" applyFill="1" applyBorder="1" applyAlignment="1" applyProtection="1">
      <alignment horizontal="center" vertical="center"/>
      <protection locked="0"/>
    </xf>
    <xf numFmtId="164" fontId="6" fillId="15" borderId="32" xfId="1" applyFont="1" applyFill="1" applyBorder="1" applyAlignment="1" applyProtection="1">
      <alignment horizontal="center"/>
    </xf>
    <xf numFmtId="0" fontId="4" fillId="0" borderId="5" xfId="0" applyFont="1" applyFill="1" applyBorder="1" applyAlignment="1">
      <alignment horizontal="left" vertical="center" wrapText="1"/>
    </xf>
    <xf numFmtId="0" fontId="4" fillId="13" borderId="45" xfId="0" applyFont="1" applyFill="1" applyBorder="1" applyAlignment="1" applyProtection="1">
      <alignment vertical="center" wrapText="1"/>
    </xf>
    <xf numFmtId="0" fontId="4" fillId="13" borderId="22" xfId="0" applyFont="1" applyFill="1" applyBorder="1" applyAlignment="1" applyProtection="1">
      <alignment vertical="center" wrapText="1"/>
    </xf>
    <xf numFmtId="0" fontId="4" fillId="4" borderId="45" xfId="0" applyFont="1" applyFill="1" applyBorder="1" applyAlignment="1" applyProtection="1">
      <alignment vertical="center" wrapText="1"/>
    </xf>
    <xf numFmtId="0" fontId="4" fillId="4" borderId="22" xfId="0" applyFont="1" applyFill="1" applyBorder="1" applyAlignment="1" applyProtection="1">
      <alignment vertical="center" wrapText="1"/>
    </xf>
    <xf numFmtId="0" fontId="4" fillId="12" borderId="45" xfId="0" applyFont="1" applyFill="1" applyBorder="1" applyAlignment="1" applyProtection="1">
      <alignment vertical="center" wrapText="1"/>
    </xf>
    <xf numFmtId="0" fontId="4" fillId="12" borderId="22" xfId="0" applyFont="1" applyFill="1" applyBorder="1" applyAlignment="1" applyProtection="1">
      <alignment vertical="center" wrapText="1"/>
    </xf>
    <xf numFmtId="0" fontId="4" fillId="0" borderId="25" xfId="0" applyFont="1" applyFill="1" applyBorder="1" applyAlignment="1">
      <alignment horizontal="left" vertical="center" wrapText="1"/>
    </xf>
    <xf numFmtId="0" fontId="6" fillId="13" borderId="24" xfId="0" applyNumberFormat="1" applyFont="1" applyFill="1" applyBorder="1" applyAlignment="1" applyProtection="1">
      <alignment horizontal="center"/>
      <protection locked="0"/>
    </xf>
    <xf numFmtId="0" fontId="6" fillId="13" borderId="43" xfId="0" applyNumberFormat="1" applyFont="1" applyFill="1" applyBorder="1" applyAlignment="1">
      <alignment horizontal="center"/>
    </xf>
    <xf numFmtId="0" fontId="6" fillId="13" borderId="27" xfId="0" applyNumberFormat="1" applyFont="1" applyFill="1" applyBorder="1" applyAlignment="1" applyProtection="1">
      <alignment horizontal="center"/>
    </xf>
    <xf numFmtId="0" fontId="6" fillId="13" borderId="47" xfId="0" applyNumberFormat="1" applyFont="1" applyFill="1" applyBorder="1" applyAlignment="1" applyProtection="1">
      <alignment horizontal="center"/>
    </xf>
    <xf numFmtId="0" fontId="6" fillId="14" borderId="27" xfId="0" applyNumberFormat="1" applyFont="1" applyFill="1" applyBorder="1" applyAlignment="1" applyProtection="1">
      <alignment horizontal="center"/>
    </xf>
    <xf numFmtId="0" fontId="6" fillId="14" borderId="47" xfId="0" applyNumberFormat="1" applyFont="1" applyFill="1" applyBorder="1" applyAlignment="1" applyProtection="1">
      <alignment horizontal="center"/>
    </xf>
    <xf numFmtId="0" fontId="6" fillId="4" borderId="27" xfId="0" applyNumberFormat="1" applyFont="1" applyFill="1" applyBorder="1" applyAlignment="1" applyProtection="1">
      <alignment horizontal="center"/>
    </xf>
    <xf numFmtId="0" fontId="6" fillId="4" borderId="47" xfId="0" applyNumberFormat="1" applyFont="1" applyFill="1" applyBorder="1" applyAlignment="1" applyProtection="1">
      <alignment horizontal="center"/>
    </xf>
    <xf numFmtId="0" fontId="6" fillId="12" borderId="27" xfId="0" applyNumberFormat="1" applyFont="1" applyFill="1" applyBorder="1" applyAlignment="1" applyProtection="1">
      <alignment horizontal="center"/>
    </xf>
    <xf numFmtId="0" fontId="6" fillId="12" borderId="47" xfId="0" applyNumberFormat="1" applyFont="1" applyFill="1" applyBorder="1" applyAlignment="1" applyProtection="1">
      <alignment horizontal="center"/>
    </xf>
    <xf numFmtId="0" fontId="6" fillId="15" borderId="47" xfId="0" applyNumberFormat="1" applyFont="1" applyFill="1" applyBorder="1" applyAlignment="1" applyProtection="1">
      <alignment horizontal="center"/>
    </xf>
    <xf numFmtId="0" fontId="4" fillId="0" borderId="28"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6" fillId="13" borderId="29" xfId="0" applyNumberFormat="1" applyFont="1" applyFill="1" applyBorder="1" applyAlignment="1" applyProtection="1">
      <alignment horizontal="center"/>
    </xf>
    <xf numFmtId="0" fontId="6" fillId="13" borderId="42" xfId="0" applyNumberFormat="1" applyFont="1" applyFill="1" applyBorder="1" applyAlignment="1" applyProtection="1">
      <alignment horizontal="center"/>
    </xf>
    <xf numFmtId="0" fontId="6" fillId="14" borderId="29" xfId="0" applyNumberFormat="1" applyFont="1" applyFill="1" applyBorder="1" applyAlignment="1" applyProtection="1">
      <alignment horizontal="center"/>
    </xf>
    <xf numFmtId="0" fontId="6" fillId="14" borderId="42" xfId="0" applyNumberFormat="1" applyFont="1" applyFill="1" applyBorder="1" applyAlignment="1" applyProtection="1">
      <alignment horizontal="center"/>
    </xf>
    <xf numFmtId="0" fontId="6" fillId="4" borderId="29" xfId="0" applyNumberFormat="1" applyFont="1" applyFill="1" applyBorder="1" applyAlignment="1" applyProtection="1">
      <alignment horizontal="center"/>
    </xf>
    <xf numFmtId="0" fontId="6" fillId="4" borderId="42" xfId="0" applyNumberFormat="1" applyFont="1" applyFill="1" applyBorder="1" applyAlignment="1" applyProtection="1">
      <alignment horizontal="center"/>
    </xf>
    <xf numFmtId="0" fontId="6" fillId="12" borderId="29" xfId="0" applyNumberFormat="1" applyFont="1" applyFill="1" applyBorder="1" applyAlignment="1" applyProtection="1">
      <alignment horizontal="center"/>
    </xf>
    <xf numFmtId="0" fontId="6" fillId="12" borderId="42" xfId="0" applyNumberFormat="1" applyFont="1" applyFill="1" applyBorder="1" applyAlignment="1" applyProtection="1">
      <alignment horizontal="center"/>
    </xf>
    <xf numFmtId="0" fontId="4" fillId="0" borderId="4" xfId="0" applyFont="1" applyFill="1" applyBorder="1" applyAlignment="1">
      <alignment horizontal="left" vertical="top" wrapText="1"/>
    </xf>
    <xf numFmtId="0" fontId="6" fillId="13" borderId="48" xfId="0" applyNumberFormat="1" applyFont="1" applyFill="1" applyBorder="1" applyAlignment="1" applyProtection="1">
      <alignment horizontal="center"/>
    </xf>
    <xf numFmtId="0" fontId="6" fillId="14" borderId="48" xfId="0" applyNumberFormat="1" applyFont="1" applyFill="1" applyBorder="1" applyAlignment="1" applyProtection="1">
      <alignment horizontal="center"/>
    </xf>
    <xf numFmtId="0" fontId="6" fillId="13" borderId="17" xfId="0" applyNumberFormat="1" applyFont="1" applyFill="1" applyBorder="1" applyAlignment="1" applyProtection="1">
      <alignment horizontal="center" vertical="center"/>
      <protection locked="0"/>
    </xf>
    <xf numFmtId="164" fontId="6" fillId="13" borderId="33" xfId="1" applyFont="1" applyFill="1" applyBorder="1" applyAlignment="1">
      <alignment horizontal="center"/>
    </xf>
    <xf numFmtId="0" fontId="6" fillId="14" borderId="49" xfId="0" applyNumberFormat="1" applyFont="1" applyFill="1" applyBorder="1" applyAlignment="1" applyProtection="1">
      <alignment horizontal="center"/>
    </xf>
    <xf numFmtId="0" fontId="6" fillId="14" borderId="50" xfId="0" applyNumberFormat="1" applyFont="1" applyFill="1" applyBorder="1" applyAlignment="1" applyProtection="1">
      <alignment horizontal="center"/>
    </xf>
    <xf numFmtId="164" fontId="6" fillId="14" borderId="33" xfId="1" applyFont="1" applyFill="1" applyBorder="1" applyAlignment="1" applyProtection="1">
      <alignment horizontal="center"/>
    </xf>
    <xf numFmtId="164" fontId="6" fillId="4" borderId="33" xfId="1" applyFont="1" applyFill="1" applyBorder="1" applyAlignment="1" applyProtection="1">
      <alignment horizontal="center"/>
    </xf>
    <xf numFmtId="0" fontId="6" fillId="12" borderId="50" xfId="0" applyNumberFormat="1" applyFont="1" applyFill="1" applyBorder="1" applyAlignment="1" applyProtection="1">
      <alignment horizontal="center"/>
    </xf>
    <xf numFmtId="164" fontId="6" fillId="12" borderId="33" xfId="1" applyFont="1" applyFill="1" applyBorder="1" applyAlignment="1" applyProtection="1">
      <alignment horizontal="center"/>
    </xf>
    <xf numFmtId="0" fontId="6" fillId="15" borderId="50" xfId="0" applyNumberFormat="1" applyFont="1" applyFill="1" applyBorder="1" applyAlignment="1" applyProtection="1">
      <alignment horizontal="center"/>
    </xf>
    <xf numFmtId="164" fontId="6" fillId="15" borderId="33" xfId="1" applyFont="1" applyFill="1" applyBorder="1" applyAlignment="1" applyProtection="1">
      <alignment horizontal="center"/>
    </xf>
    <xf numFmtId="0" fontId="6" fillId="0" borderId="0" xfId="0" applyFont="1"/>
    <xf numFmtId="171" fontId="6" fillId="0" borderId="0" xfId="2" applyNumberFormat="1" applyFont="1" applyBorder="1" applyAlignment="1">
      <alignment horizontal="center"/>
    </xf>
    <xf numFmtId="0" fontId="1" fillId="13" borderId="15" xfId="0" applyFont="1" applyFill="1" applyBorder="1" applyAlignment="1">
      <alignment horizontal="center" vertical="center" wrapText="1"/>
    </xf>
    <xf numFmtId="0" fontId="1" fillId="14" borderId="15"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12" borderId="15" xfId="0" applyFont="1" applyFill="1" applyBorder="1" applyAlignment="1">
      <alignment horizontal="center" vertical="center" wrapText="1"/>
    </xf>
    <xf numFmtId="0" fontId="1" fillId="15" borderId="15" xfId="0" applyFont="1" applyFill="1" applyBorder="1" applyAlignment="1">
      <alignment horizontal="center" vertical="center" wrapText="1"/>
    </xf>
    <xf numFmtId="0" fontId="4" fillId="0" borderId="53" xfId="0" applyFont="1" applyFill="1" applyBorder="1" applyAlignment="1">
      <alignment horizontal="left" vertical="center" wrapText="1"/>
    </xf>
    <xf numFmtId="0" fontId="6" fillId="15" borderId="1" xfId="0" applyNumberFormat="1" applyFont="1" applyFill="1" applyBorder="1" applyAlignment="1" applyProtection="1">
      <alignment horizontal="center" vertical="center"/>
      <protection locked="0"/>
    </xf>
    <xf numFmtId="164" fontId="6" fillId="14" borderId="55" xfId="1" applyFont="1" applyFill="1" applyBorder="1" applyAlignment="1" applyProtection="1">
      <alignment horizontal="center"/>
    </xf>
    <xf numFmtId="0" fontId="6" fillId="4" borderId="50" xfId="0" applyNumberFormat="1" applyFont="1" applyFill="1" applyBorder="1" applyAlignment="1" applyProtection="1">
      <alignment horizontal="center"/>
    </xf>
    <xf numFmtId="0" fontId="6" fillId="13" borderId="50" xfId="0" applyNumberFormat="1" applyFont="1" applyFill="1" applyBorder="1" applyAlignment="1" applyProtection="1">
      <alignment horizont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164" fontId="5" fillId="0" borderId="1" xfId="1" applyNumberFormat="1" applyFont="1" applyFill="1" applyBorder="1" applyAlignment="1">
      <alignment horizontal="center" vertical="center"/>
    </xf>
    <xf numFmtId="165" fontId="5"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4" fillId="6" borderId="1" xfId="0" applyFont="1" applyFill="1" applyBorder="1" applyAlignment="1">
      <alignment horizontal="left" vertical="center" wrapText="1"/>
    </xf>
    <xf numFmtId="165" fontId="5" fillId="0" borderId="1" xfId="0" applyNumberFormat="1" applyFont="1" applyFill="1" applyBorder="1" applyAlignment="1">
      <alignment horizontal="center" vertical="center" shrinkToFit="1"/>
    </xf>
    <xf numFmtId="2" fontId="7" fillId="0" borderId="0" xfId="0" applyNumberFormat="1" applyFont="1"/>
    <xf numFmtId="173" fontId="2" fillId="0" borderId="0" xfId="0" applyNumberFormat="1" applyFont="1" applyProtection="1">
      <protection hidden="1"/>
    </xf>
    <xf numFmtId="167" fontId="2" fillId="0" borderId="0" xfId="0" applyNumberFormat="1" applyFont="1" applyProtection="1">
      <protection hidden="1"/>
    </xf>
    <xf numFmtId="10" fontId="2" fillId="0" borderId="0" xfId="2" applyNumberFormat="1" applyFont="1" applyProtection="1">
      <protection hidden="1"/>
    </xf>
    <xf numFmtId="171" fontId="2" fillId="0" borderId="0" xfId="2" applyNumberFormat="1" applyFont="1" applyProtection="1">
      <protection hidden="1"/>
    </xf>
    <xf numFmtId="174" fontId="2" fillId="0" borderId="0" xfId="2" applyNumberFormat="1" applyFont="1" applyProtection="1">
      <protection hidden="1"/>
    </xf>
    <xf numFmtId="170" fontId="2" fillId="0" borderId="0" xfId="0" applyNumberFormat="1" applyFont="1" applyProtection="1">
      <protection hidden="1"/>
    </xf>
    <xf numFmtId="10" fontId="12" fillId="5" borderId="11" xfId="2" applyNumberFormat="1" applyFont="1" applyFill="1" applyBorder="1" applyAlignment="1">
      <alignment horizontal="center" vertical="top" wrapText="1"/>
    </xf>
    <xf numFmtId="10" fontId="12" fillId="5" borderId="12" xfId="2" applyNumberFormat="1" applyFont="1" applyFill="1" applyBorder="1" applyAlignment="1">
      <alignment horizontal="center" vertical="top" wrapText="1"/>
    </xf>
    <xf numFmtId="10" fontId="12" fillId="5" borderId="13" xfId="2" applyNumberFormat="1" applyFont="1" applyFill="1" applyBorder="1" applyAlignment="1">
      <alignment horizontal="center" vertical="top" wrapText="1"/>
    </xf>
    <xf numFmtId="0" fontId="1" fillId="13" borderId="38" xfId="0" applyFont="1" applyFill="1" applyBorder="1" applyAlignment="1">
      <alignment horizontal="center" vertical="center" wrapText="1"/>
    </xf>
    <xf numFmtId="0" fontId="9" fillId="13" borderId="39" xfId="0" applyFont="1" applyFill="1" applyBorder="1" applyAlignment="1">
      <alignment horizontal="center" vertical="center" wrapText="1"/>
    </xf>
    <xf numFmtId="0" fontId="9" fillId="13" borderId="40" xfId="0" applyFont="1" applyFill="1" applyBorder="1" applyAlignment="1">
      <alignment horizontal="center" vertical="center" wrapText="1"/>
    </xf>
    <xf numFmtId="0" fontId="1" fillId="13" borderId="30" xfId="0" applyFont="1" applyFill="1" applyBorder="1" applyAlignment="1">
      <alignment horizontal="center" vertical="center" wrapText="1"/>
    </xf>
    <xf numFmtId="0" fontId="1" fillId="13" borderId="31" xfId="0" applyFont="1" applyFill="1" applyBorder="1" applyAlignment="1">
      <alignment horizontal="center" vertical="center" wrapText="1"/>
    </xf>
    <xf numFmtId="0" fontId="1" fillId="13" borderId="52" xfId="0" applyFont="1" applyFill="1" applyBorder="1" applyAlignment="1">
      <alignment horizontal="center" vertical="center" wrapText="1"/>
    </xf>
    <xf numFmtId="0" fontId="1" fillId="15" borderId="38" xfId="0" applyFont="1" applyFill="1" applyBorder="1" applyAlignment="1">
      <alignment horizontal="center" vertical="center" wrapText="1"/>
    </xf>
    <xf numFmtId="0" fontId="9" fillId="15" borderId="39" xfId="0" applyFont="1" applyFill="1" applyBorder="1" applyAlignment="1">
      <alignment horizontal="center" vertical="center" wrapText="1"/>
    </xf>
    <xf numFmtId="0" fontId="9" fillId="15" borderId="40" xfId="0" applyFont="1" applyFill="1" applyBorder="1" applyAlignment="1">
      <alignment horizontal="center" vertical="center" wrapText="1"/>
    </xf>
    <xf numFmtId="0" fontId="1" fillId="15" borderId="30" xfId="0" applyFont="1" applyFill="1" applyBorder="1" applyAlignment="1">
      <alignment horizontal="center" vertical="center" wrapText="1"/>
    </xf>
    <xf numFmtId="0" fontId="1" fillId="15" borderId="31" xfId="0" applyFont="1" applyFill="1" applyBorder="1" applyAlignment="1">
      <alignment horizontal="center" vertical="center" wrapText="1"/>
    </xf>
    <xf numFmtId="0" fontId="1" fillId="15" borderId="52" xfId="0" applyFont="1" applyFill="1" applyBorder="1" applyAlignment="1">
      <alignment horizontal="center" vertical="center" wrapText="1"/>
    </xf>
    <xf numFmtId="0" fontId="8" fillId="0" borderId="21" xfId="0" applyFont="1" applyBorder="1" applyAlignment="1">
      <alignment horizontal="center" wrapText="1"/>
    </xf>
    <xf numFmtId="0" fontId="8" fillId="0" borderId="0" xfId="0" applyFont="1" applyBorder="1" applyAlignment="1">
      <alignment horizont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14" borderId="30" xfId="0" applyFont="1" applyFill="1" applyBorder="1" applyAlignment="1">
      <alignment horizontal="center" vertical="center" wrapText="1"/>
    </xf>
    <xf numFmtId="0" fontId="1" fillId="14" borderId="31" xfId="0" applyFont="1" applyFill="1" applyBorder="1" applyAlignment="1">
      <alignment horizontal="center" vertical="center" wrapText="1"/>
    </xf>
    <xf numFmtId="0" fontId="1" fillId="14" borderId="52"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31" xfId="0" applyFont="1" applyFill="1" applyBorder="1" applyAlignment="1">
      <alignment horizontal="center" vertical="center" wrapText="1"/>
    </xf>
    <xf numFmtId="0" fontId="1" fillId="4" borderId="52" xfId="0" applyFont="1" applyFill="1" applyBorder="1" applyAlignment="1">
      <alignment horizontal="center" vertical="center" wrapText="1"/>
    </xf>
    <xf numFmtId="0" fontId="1" fillId="12" borderId="30" xfId="0" applyFont="1" applyFill="1" applyBorder="1" applyAlignment="1">
      <alignment horizontal="center" vertical="center" wrapText="1"/>
    </xf>
    <xf numFmtId="0" fontId="1" fillId="12" borderId="31" xfId="0" applyFont="1" applyFill="1" applyBorder="1" applyAlignment="1">
      <alignment horizontal="center" vertical="center" wrapText="1"/>
    </xf>
    <xf numFmtId="0" fontId="1" fillId="12" borderId="52" xfId="0" applyFont="1" applyFill="1" applyBorder="1" applyAlignment="1">
      <alignment horizontal="center" vertical="center" wrapText="1"/>
    </xf>
    <xf numFmtId="0" fontId="4" fillId="0" borderId="6" xfId="0" applyFont="1" applyFill="1" applyBorder="1" applyAlignment="1">
      <alignment horizontal="center" vertical="center" textRotation="90" wrapText="1"/>
    </xf>
    <xf numFmtId="0" fontId="4" fillId="0" borderId="9" xfId="0" applyFont="1" applyFill="1" applyBorder="1" applyAlignment="1">
      <alignment horizontal="center" vertical="center" textRotation="90" wrapText="1"/>
    </xf>
    <xf numFmtId="0" fontId="8" fillId="0" borderId="54" xfId="0" applyFont="1" applyBorder="1" applyAlignment="1">
      <alignment horizontal="center"/>
    </xf>
    <xf numFmtId="0" fontId="4" fillId="0" borderId="8" xfId="0" applyFont="1" applyFill="1" applyBorder="1" applyAlignment="1">
      <alignment horizontal="center" vertical="center" textRotation="90"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3" xfId="0" applyFont="1" applyBorder="1" applyAlignment="1">
      <alignment horizontal="center" vertical="center"/>
    </xf>
    <xf numFmtId="0" fontId="9" fillId="3" borderId="1" xfId="0" applyFont="1" applyFill="1" applyBorder="1" applyAlignment="1">
      <alignment horizontal="center" vertical="center" wrapText="1"/>
    </xf>
    <xf numFmtId="0" fontId="9" fillId="13" borderId="38" xfId="0" applyFont="1" applyFill="1" applyBorder="1" applyAlignment="1">
      <alignment horizontal="center" vertical="center" wrapText="1"/>
    </xf>
    <xf numFmtId="0" fontId="1" fillId="14" borderId="38" xfId="0" applyFont="1" applyFill="1" applyBorder="1" applyAlignment="1">
      <alignment horizontal="center" vertical="center" wrapText="1"/>
    </xf>
    <xf numFmtId="0" fontId="9" fillId="14" borderId="39" xfId="0" applyFont="1" applyFill="1" applyBorder="1" applyAlignment="1">
      <alignment horizontal="center" vertical="center" wrapText="1"/>
    </xf>
    <xf numFmtId="0" fontId="9" fillId="14" borderId="40" xfId="0" applyFont="1" applyFill="1" applyBorder="1" applyAlignment="1">
      <alignment horizontal="center" vertical="center" wrapText="1"/>
    </xf>
    <xf numFmtId="0" fontId="1" fillId="4" borderId="38" xfId="0" applyFont="1" applyFill="1" applyBorder="1" applyAlignment="1">
      <alignment horizontal="center" vertical="center" wrapText="1"/>
    </xf>
    <xf numFmtId="0" fontId="9" fillId="4" borderId="39"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1" fillId="12" borderId="38" xfId="0" applyFont="1" applyFill="1" applyBorder="1" applyAlignment="1">
      <alignment horizontal="center" vertical="center" wrapText="1"/>
    </xf>
    <xf numFmtId="0" fontId="9" fillId="12" borderId="39" xfId="0" applyFont="1" applyFill="1" applyBorder="1" applyAlignment="1">
      <alignment horizontal="center" vertical="center" wrapText="1"/>
    </xf>
    <xf numFmtId="0" fontId="9" fillId="12" borderId="40" xfId="0" applyFont="1" applyFill="1" applyBorder="1" applyAlignment="1">
      <alignment horizontal="center" vertical="center" wrapText="1"/>
    </xf>
    <xf numFmtId="0" fontId="8" fillId="8" borderId="1" xfId="0" applyFont="1" applyFill="1" applyBorder="1" applyAlignment="1">
      <alignment horizontal="center" vertical="center"/>
    </xf>
    <xf numFmtId="0" fontId="15" fillId="4"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9"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4" fillId="0" borderId="0" xfId="0" applyFont="1" applyFill="1" applyBorder="1" applyAlignment="1">
      <alignment horizontal="center" vertical="center" textRotation="90"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textRotation="90" wrapText="1"/>
    </xf>
    <xf numFmtId="0" fontId="4" fillId="0" borderId="7" xfId="0" applyFont="1" applyFill="1" applyBorder="1" applyAlignment="1">
      <alignment horizontal="center" vertical="center" textRotation="90" wrapText="1"/>
    </xf>
    <xf numFmtId="2" fontId="14" fillId="0" borderId="1" xfId="0" applyNumberFormat="1" applyFont="1" applyFill="1" applyBorder="1" applyAlignment="1">
      <alignment horizontal="center" vertical="center" shrinkToFit="1"/>
    </xf>
    <xf numFmtId="0" fontId="13" fillId="3" borderId="1" xfId="0" applyFont="1" applyFill="1" applyBorder="1" applyAlignment="1">
      <alignment horizontal="center" vertical="center" wrapText="1"/>
    </xf>
    <xf numFmtId="0" fontId="24" fillId="0" borderId="58" xfId="0" applyFont="1" applyFill="1" applyBorder="1" applyAlignment="1">
      <alignment horizontal="center" vertical="center" wrapText="1"/>
    </xf>
    <xf numFmtId="0" fontId="24" fillId="0" borderId="59" xfId="0" applyFont="1" applyFill="1" applyBorder="1" applyAlignment="1">
      <alignment horizontal="center" vertical="center" wrapText="1"/>
    </xf>
    <xf numFmtId="0" fontId="24" fillId="0" borderId="60" xfId="0" applyFont="1" applyFill="1" applyBorder="1" applyAlignment="1">
      <alignment horizontal="center" vertical="center" wrapText="1"/>
    </xf>
    <xf numFmtId="0" fontId="24" fillId="0" borderId="61"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13" xfId="0" applyFont="1" applyFill="1" applyBorder="1" applyAlignment="1">
      <alignment horizontal="center" vertical="center" wrapText="1"/>
    </xf>
    <xf numFmtId="10" fontId="17" fillId="0" borderId="1" xfId="2" applyNumberFormat="1" applyFont="1" applyFill="1" applyBorder="1" applyAlignment="1">
      <alignment horizontal="center" vertical="center"/>
    </xf>
    <xf numFmtId="0" fontId="12" fillId="0" borderId="1" xfId="0" applyFont="1" applyBorder="1" applyAlignment="1">
      <alignment horizontal="center" vertical="center"/>
    </xf>
    <xf numFmtId="0" fontId="13" fillId="11" borderId="1" xfId="0" applyFont="1" applyFill="1" applyBorder="1" applyAlignment="1">
      <alignment horizontal="center" vertical="center" wrapText="1"/>
    </xf>
    <xf numFmtId="10" fontId="12" fillId="5" borderId="1" xfId="2" applyNumberFormat="1" applyFont="1" applyFill="1" applyBorder="1" applyAlignment="1">
      <alignment horizontal="center" vertical="center" wrapText="1"/>
    </xf>
    <xf numFmtId="164" fontId="13" fillId="9" borderId="18" xfId="0" applyNumberFormat="1" applyFont="1" applyFill="1" applyBorder="1" applyAlignment="1" applyProtection="1">
      <alignment vertical="center"/>
      <protection locked="0"/>
    </xf>
    <xf numFmtId="164" fontId="13" fillId="9" borderId="21" xfId="0" applyNumberFormat="1" applyFont="1" applyFill="1" applyBorder="1" applyAlignment="1" applyProtection="1">
      <alignment vertical="center"/>
      <protection locked="0"/>
    </xf>
    <xf numFmtId="164" fontId="13" fillId="10" borderId="1" xfId="0" applyNumberFormat="1" applyFont="1" applyFill="1" applyBorder="1" applyAlignment="1">
      <alignment vertical="center"/>
    </xf>
    <xf numFmtId="164" fontId="13" fillId="4" borderId="1" xfId="0" applyNumberFormat="1" applyFont="1" applyFill="1" applyBorder="1" applyAlignment="1">
      <alignment horizontal="center" vertical="center" wrapText="1"/>
    </xf>
    <xf numFmtId="164" fontId="13" fillId="4" borderId="2" xfId="0" applyNumberFormat="1" applyFont="1" applyFill="1" applyBorder="1" applyAlignment="1">
      <alignment horizontal="center" vertical="center" wrapText="1"/>
    </xf>
    <xf numFmtId="172" fontId="17" fillId="0" borderId="1" xfId="1" applyNumberFormat="1" applyFont="1" applyFill="1" applyBorder="1" applyAlignment="1">
      <alignment horizontal="center" vertical="center"/>
    </xf>
    <xf numFmtId="170" fontId="17" fillId="0" borderId="1" xfId="1" applyNumberFormat="1" applyFont="1" applyFill="1" applyBorder="1" applyAlignment="1">
      <alignment horizontal="center" vertical="center"/>
    </xf>
    <xf numFmtId="164" fontId="25" fillId="0" borderId="1" xfId="1" applyFont="1" applyFill="1" applyBorder="1" applyAlignment="1">
      <alignment horizontal="center" vertical="center"/>
    </xf>
    <xf numFmtId="0" fontId="17" fillId="0" borderId="1" xfId="0" applyFont="1" applyFill="1" applyBorder="1" applyAlignment="1" applyProtection="1">
      <alignment horizontal="center" vertical="center"/>
      <protection locked="0"/>
    </xf>
    <xf numFmtId="0" fontId="2" fillId="0" borderId="31" xfId="0" applyFont="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0" fontId="2" fillId="0" borderId="17" xfId="0" applyFont="1" applyBorder="1" applyAlignment="1" applyProtection="1">
      <alignment horizontal="center" vertical="center" wrapText="1"/>
      <protection hidden="1"/>
    </xf>
    <xf numFmtId="0" fontId="2" fillId="0" borderId="3" xfId="0" applyFont="1" applyBorder="1" applyAlignment="1" applyProtection="1">
      <alignment horizontal="center" vertical="center"/>
      <protection hidden="1"/>
    </xf>
    <xf numFmtId="0" fontId="15" fillId="4" borderId="57" xfId="0" applyFont="1" applyFill="1" applyBorder="1" applyAlignment="1" applyProtection="1">
      <alignment horizontal="center" vertical="center" wrapText="1"/>
      <protection hidden="1"/>
    </xf>
    <xf numFmtId="0" fontId="15" fillId="4" borderId="34" xfId="0" applyFont="1" applyFill="1" applyBorder="1" applyAlignment="1" applyProtection="1">
      <alignment horizontal="center" vertical="center" wrapText="1"/>
      <protection hidden="1"/>
    </xf>
    <xf numFmtId="0" fontId="15" fillId="4" borderId="35" xfId="0" applyFont="1" applyFill="1" applyBorder="1" applyAlignment="1" applyProtection="1">
      <alignment horizontal="center" vertical="center" wrapText="1"/>
      <protection hidden="1"/>
    </xf>
    <xf numFmtId="0" fontId="17" fillId="0" borderId="15" xfId="0" applyFont="1" applyBorder="1" applyAlignment="1" applyProtection="1">
      <alignment horizontal="center" vertical="center" wrapText="1"/>
      <protection hidden="1"/>
    </xf>
    <xf numFmtId="0" fontId="17" fillId="0" borderId="1" xfId="0" applyFont="1" applyBorder="1" applyAlignment="1" applyProtection="1">
      <alignment horizontal="center" vertical="center" wrapText="1"/>
      <protection hidden="1"/>
    </xf>
    <xf numFmtId="0" fontId="17" fillId="0" borderId="20"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0" fontId="15" fillId="0" borderId="2" xfId="0" applyFont="1" applyBorder="1" applyAlignment="1" applyProtection="1">
      <alignment horizontal="center" vertical="center" wrapText="1"/>
      <protection hidden="1"/>
    </xf>
    <xf numFmtId="0" fontId="1" fillId="2" borderId="1" xfId="0" applyFont="1" applyFill="1" applyBorder="1" applyAlignment="1" applyProtection="1">
      <alignment horizontal="center" vertical="center" wrapText="1"/>
      <protection hidden="1"/>
    </xf>
    <xf numFmtId="0" fontId="5" fillId="2" borderId="2" xfId="0" applyFont="1" applyFill="1" applyBorder="1" applyAlignment="1" applyProtection="1">
      <alignment horizontal="center" vertical="center" wrapText="1"/>
      <protection hidden="1"/>
    </xf>
    <xf numFmtId="0" fontId="8" fillId="0" borderId="11" xfId="0" applyFont="1" applyBorder="1" applyAlignment="1">
      <alignment horizontal="center"/>
    </xf>
    <xf numFmtId="0" fontId="8" fillId="0" borderId="12" xfId="0" applyFont="1" applyBorder="1" applyAlignment="1">
      <alignment horizontal="center"/>
    </xf>
    <xf numFmtId="0" fontId="4"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4"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8" fillId="0" borderId="1" xfId="0" applyFont="1" applyBorder="1" applyAlignment="1">
      <alignment horizontal="center"/>
    </xf>
    <xf numFmtId="164" fontId="0" fillId="0" borderId="0" xfId="1" applyFont="1" applyAlignment="1">
      <alignment horizontal="center" vertical="center" wrapText="1"/>
    </xf>
    <xf numFmtId="164" fontId="0" fillId="0" borderId="0" xfId="1" applyFont="1" applyAlignment="1">
      <alignment horizontal="center"/>
    </xf>
    <xf numFmtId="164" fontId="17" fillId="0" borderId="0" xfId="1" applyFont="1" applyAlignment="1">
      <alignment horizontal="center" vertical="center" wrapText="1"/>
    </xf>
    <xf numFmtId="0" fontId="0" fillId="0" borderId="1" xfId="0" applyBorder="1" applyAlignment="1">
      <alignment horizontal="center"/>
    </xf>
    <xf numFmtId="164" fontId="30" fillId="0" borderId="0" xfId="1" applyFont="1" applyAlignment="1">
      <alignment horizontal="center" vertical="center" wrapText="1"/>
    </xf>
    <xf numFmtId="164" fontId="6" fillId="14" borderId="32" xfId="1" applyFont="1" applyFill="1" applyBorder="1" applyAlignment="1" applyProtection="1">
      <alignment horizontal="center"/>
      <protection locked="0"/>
    </xf>
  </cellXfs>
  <cellStyles count="3">
    <cellStyle name="Normale" xfId="0" builtinId="0"/>
    <cellStyle name="Percentuale" xfId="2" builtinId="5"/>
    <cellStyle name="Valuta" xfId="1" builtinId="4"/>
  </cellStyles>
  <dxfs count="64">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FF3300"/>
      <color rgb="FFFFCCFF"/>
      <color rgb="FFFFFF99"/>
      <color rgb="FF37F9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3" Type="http://schemas.openxmlformats.org/officeDocument/2006/relationships/worksheet" Target="worksheets/sheet3.xml"/><Relationship Id="rId7" Type="http://schemas.openxmlformats.org/officeDocument/2006/relationships/worksheet" Target="worksheets/sheet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sharedStrings" Target="sharedStrings.xml"/><Relationship Id="rId5" Type="http://schemas.openxmlformats.org/officeDocument/2006/relationships/chartsheet" Target="chartsheets/sheet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it-IT"/>
  <c:protection/>
  <c:chart>
    <c:title>
      <c:tx>
        <c:rich>
          <a:bodyPr/>
          <a:lstStyle/>
          <a:p>
            <a:pPr>
              <a:defRPr/>
            </a:pPr>
            <a:r>
              <a:rPr lang="it-IT" sz="1600"/>
              <a:t>SIMULAZIONE CALCOLO PERCENTUALI</a:t>
            </a:r>
            <a:r>
              <a:rPr lang="it-IT" sz="1600" baseline="0"/>
              <a:t> SPESE  TECNICHE GENERALI AMBITO A</a:t>
            </a:r>
          </a:p>
          <a:p>
            <a:pPr>
              <a:defRPr/>
            </a:pPr>
            <a:endParaRPr lang="it-IT" sz="1600" baseline="0"/>
          </a:p>
        </c:rich>
      </c:tx>
      <c:layout/>
    </c:title>
    <c:plotArea>
      <c:layout>
        <c:manualLayout>
          <c:layoutTarget val="inner"/>
          <c:xMode val="edge"/>
          <c:yMode val="edge"/>
          <c:x val="6.9136084113624291E-2"/>
          <c:y val="0.13478298044709414"/>
          <c:w val="0.6058517462765256"/>
          <c:h val="0.59532569390339662"/>
        </c:manualLayout>
      </c:layout>
      <c:scatterChart>
        <c:scatterStyle val="smoothMarker"/>
        <c:ser>
          <c:idx val="1"/>
          <c:order val="1"/>
          <c:tx>
            <c:v>PERCENTUALI SPESE GENERALI PSR AMBITO A</c:v>
          </c:tx>
          <c:spPr>
            <a:ln w="44450">
              <a:solidFill>
                <a:srgbClr val="FF0000"/>
              </a:solidFill>
            </a:ln>
          </c:spPr>
          <c:marker>
            <c:symbol val="none"/>
          </c:marker>
          <c:xVal>
            <c:numRef>
              <c:f>'calcoli GRAFICO'!$A$4:$A$198</c:f>
              <c:numCache>
                <c:formatCode>_-* #,##000\ "€"_-;\-* #,##000\ "€"_-;_-* "-"??\ "€"_-;_-@_-</c:formatCode>
                <c:ptCount val="195"/>
                <c:pt idx="0">
                  <c:v>50000</c:v>
                </c:pt>
                <c:pt idx="1">
                  <c:v>75000</c:v>
                </c:pt>
                <c:pt idx="2">
                  <c:v>100000</c:v>
                </c:pt>
                <c:pt idx="3">
                  <c:v>125000</c:v>
                </c:pt>
                <c:pt idx="4">
                  <c:v>150000</c:v>
                </c:pt>
                <c:pt idx="5">
                  <c:v>175000</c:v>
                </c:pt>
                <c:pt idx="6">
                  <c:v>200000</c:v>
                </c:pt>
                <c:pt idx="7">
                  <c:v>225000</c:v>
                </c:pt>
                <c:pt idx="8">
                  <c:v>250000</c:v>
                </c:pt>
                <c:pt idx="9">
                  <c:v>275000</c:v>
                </c:pt>
                <c:pt idx="10">
                  <c:v>300000</c:v>
                </c:pt>
                <c:pt idx="11">
                  <c:v>325000</c:v>
                </c:pt>
                <c:pt idx="12">
                  <c:v>350000</c:v>
                </c:pt>
                <c:pt idx="13">
                  <c:v>375000</c:v>
                </c:pt>
                <c:pt idx="14">
                  <c:v>400000</c:v>
                </c:pt>
                <c:pt idx="15">
                  <c:v>425000</c:v>
                </c:pt>
                <c:pt idx="16">
                  <c:v>450000</c:v>
                </c:pt>
                <c:pt idx="17">
                  <c:v>475000</c:v>
                </c:pt>
                <c:pt idx="18">
                  <c:v>500000</c:v>
                </c:pt>
                <c:pt idx="19">
                  <c:v>525000</c:v>
                </c:pt>
                <c:pt idx="20">
                  <c:v>550000</c:v>
                </c:pt>
                <c:pt idx="21">
                  <c:v>575000</c:v>
                </c:pt>
                <c:pt idx="22">
                  <c:v>600000</c:v>
                </c:pt>
                <c:pt idx="23">
                  <c:v>625000</c:v>
                </c:pt>
                <c:pt idx="24">
                  <c:v>650000</c:v>
                </c:pt>
                <c:pt idx="25">
                  <c:v>675000</c:v>
                </c:pt>
                <c:pt idx="26">
                  <c:v>700000</c:v>
                </c:pt>
                <c:pt idx="27">
                  <c:v>725000</c:v>
                </c:pt>
                <c:pt idx="28">
                  <c:v>750000</c:v>
                </c:pt>
                <c:pt idx="29">
                  <c:v>775000</c:v>
                </c:pt>
                <c:pt idx="30">
                  <c:v>800000</c:v>
                </c:pt>
                <c:pt idx="31">
                  <c:v>825000</c:v>
                </c:pt>
                <c:pt idx="32">
                  <c:v>850000</c:v>
                </c:pt>
                <c:pt idx="33">
                  <c:v>875000</c:v>
                </c:pt>
                <c:pt idx="34">
                  <c:v>900000</c:v>
                </c:pt>
                <c:pt idx="35">
                  <c:v>925000</c:v>
                </c:pt>
                <c:pt idx="36">
                  <c:v>950000</c:v>
                </c:pt>
                <c:pt idx="37">
                  <c:v>975000</c:v>
                </c:pt>
                <c:pt idx="38">
                  <c:v>1000000</c:v>
                </c:pt>
                <c:pt idx="39">
                  <c:v>1025000</c:v>
                </c:pt>
                <c:pt idx="40">
                  <c:v>1050000</c:v>
                </c:pt>
                <c:pt idx="41">
                  <c:v>1075000</c:v>
                </c:pt>
                <c:pt idx="42">
                  <c:v>1100000</c:v>
                </c:pt>
                <c:pt idx="43">
                  <c:v>1125000</c:v>
                </c:pt>
                <c:pt idx="44">
                  <c:v>1150000</c:v>
                </c:pt>
                <c:pt idx="45">
                  <c:v>1175000</c:v>
                </c:pt>
                <c:pt idx="46">
                  <c:v>1200000</c:v>
                </c:pt>
                <c:pt idx="47">
                  <c:v>1225000</c:v>
                </c:pt>
                <c:pt idx="48">
                  <c:v>1250000</c:v>
                </c:pt>
                <c:pt idx="49">
                  <c:v>1275000</c:v>
                </c:pt>
                <c:pt idx="50">
                  <c:v>1300000</c:v>
                </c:pt>
                <c:pt idx="51">
                  <c:v>1325000</c:v>
                </c:pt>
                <c:pt idx="52">
                  <c:v>1350000</c:v>
                </c:pt>
                <c:pt idx="53">
                  <c:v>1375000</c:v>
                </c:pt>
                <c:pt idx="54">
                  <c:v>1400000</c:v>
                </c:pt>
                <c:pt idx="55">
                  <c:v>1425000</c:v>
                </c:pt>
                <c:pt idx="56">
                  <c:v>1450000</c:v>
                </c:pt>
                <c:pt idx="57">
                  <c:v>1475000</c:v>
                </c:pt>
                <c:pt idx="58">
                  <c:v>1500000</c:v>
                </c:pt>
                <c:pt idx="59">
                  <c:v>1525000</c:v>
                </c:pt>
                <c:pt idx="60">
                  <c:v>1550000</c:v>
                </c:pt>
                <c:pt idx="61">
                  <c:v>1575000</c:v>
                </c:pt>
                <c:pt idx="62">
                  <c:v>1600000</c:v>
                </c:pt>
                <c:pt idx="63">
                  <c:v>1625000</c:v>
                </c:pt>
                <c:pt idx="64">
                  <c:v>1650000</c:v>
                </c:pt>
                <c:pt idx="65">
                  <c:v>1675000</c:v>
                </c:pt>
                <c:pt idx="66">
                  <c:v>1700000</c:v>
                </c:pt>
                <c:pt idx="67">
                  <c:v>1725000</c:v>
                </c:pt>
                <c:pt idx="68">
                  <c:v>1750000</c:v>
                </c:pt>
                <c:pt idx="69">
                  <c:v>1775000</c:v>
                </c:pt>
                <c:pt idx="70">
                  <c:v>1800000</c:v>
                </c:pt>
                <c:pt idx="71">
                  <c:v>1825000</c:v>
                </c:pt>
                <c:pt idx="72">
                  <c:v>1850000</c:v>
                </c:pt>
                <c:pt idx="73">
                  <c:v>1875000</c:v>
                </c:pt>
                <c:pt idx="74">
                  <c:v>1900000</c:v>
                </c:pt>
                <c:pt idx="75">
                  <c:v>1925000</c:v>
                </c:pt>
                <c:pt idx="76">
                  <c:v>1950000</c:v>
                </c:pt>
                <c:pt idx="77">
                  <c:v>1975000</c:v>
                </c:pt>
              </c:numCache>
            </c:numRef>
          </c:xVal>
          <c:yVal>
            <c:numRef>
              <c:f>'calcoli GRAFICO'!$M$4:$M$198</c:f>
              <c:numCache>
                <c:formatCode>0,00%</c:formatCode>
                <c:ptCount val="195"/>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9.7619047619047619E-2</c:v>
                </c:pt>
                <c:pt idx="20">
                  <c:v>9.5454545454545459E-2</c:v>
                </c:pt>
                <c:pt idx="21">
                  <c:v>9.3478260869565219E-2</c:v>
                </c:pt>
                <c:pt idx="22">
                  <c:v>9.166666666666666E-2</c:v>
                </c:pt>
                <c:pt idx="23">
                  <c:v>0.09</c:v>
                </c:pt>
                <c:pt idx="24">
                  <c:v>8.8461538461538466E-2</c:v>
                </c:pt>
                <c:pt idx="25">
                  <c:v>8.7037037037037038E-2</c:v>
                </c:pt>
                <c:pt idx="26">
                  <c:v>8.5714285714285715E-2</c:v>
                </c:pt>
                <c:pt idx="27">
                  <c:v>8.4482758620689657E-2</c:v>
                </c:pt>
                <c:pt idx="28">
                  <c:v>8.3333333333333329E-2</c:v>
                </c:pt>
                <c:pt idx="29">
                  <c:v>8.2258064516129034E-2</c:v>
                </c:pt>
                <c:pt idx="30">
                  <c:v>8.1250000000000003E-2</c:v>
                </c:pt>
                <c:pt idx="31">
                  <c:v>8.0303030303030307E-2</c:v>
                </c:pt>
                <c:pt idx="32">
                  <c:v>7.9411764705882348E-2</c:v>
                </c:pt>
                <c:pt idx="33">
                  <c:v>7.857142857142857E-2</c:v>
                </c:pt>
                <c:pt idx="34">
                  <c:v>7.7777777777777779E-2</c:v>
                </c:pt>
                <c:pt idx="35">
                  <c:v>7.7027027027027031E-2</c:v>
                </c:pt>
                <c:pt idx="36">
                  <c:v>7.6315789473684212E-2</c:v>
                </c:pt>
                <c:pt idx="37">
                  <c:v>7.5641025641025636E-2</c:v>
                </c:pt>
                <c:pt idx="38">
                  <c:v>7.5000000000000011E-2</c:v>
                </c:pt>
                <c:pt idx="39">
                  <c:v>7.3780487804878059E-2</c:v>
                </c:pt>
                <c:pt idx="40">
                  <c:v>7.2619047619047611E-2</c:v>
                </c:pt>
                <c:pt idx="41">
                  <c:v>7.1511627906976738E-2</c:v>
                </c:pt>
                <c:pt idx="42">
                  <c:v>7.045454545454545E-2</c:v>
                </c:pt>
                <c:pt idx="43">
                  <c:v>6.9444444444444448E-2</c:v>
                </c:pt>
                <c:pt idx="44">
                  <c:v>6.8478260869565211E-2</c:v>
                </c:pt>
                <c:pt idx="45">
                  <c:v>6.7553191489361702E-2</c:v>
                </c:pt>
                <c:pt idx="46">
                  <c:v>6.6666666666666666E-2</c:v>
                </c:pt>
                <c:pt idx="47">
                  <c:v>6.5816326530612243E-2</c:v>
                </c:pt>
                <c:pt idx="48">
                  <c:v>6.5000000000000002E-2</c:v>
                </c:pt>
                <c:pt idx="49">
                  <c:v>6.4215686274509798E-2</c:v>
                </c:pt>
                <c:pt idx="50">
                  <c:v>6.3461538461538458E-2</c:v>
                </c:pt>
                <c:pt idx="51">
                  <c:v>6.2735849056603774E-2</c:v>
                </c:pt>
                <c:pt idx="52">
                  <c:v>6.2037037037037036E-2</c:v>
                </c:pt>
                <c:pt idx="53">
                  <c:v>6.1363636363636363E-2</c:v>
                </c:pt>
                <c:pt idx="54">
                  <c:v>6.0714285714285714E-2</c:v>
                </c:pt>
                <c:pt idx="55">
                  <c:v>6.0087719298245613E-2</c:v>
                </c:pt>
                <c:pt idx="56">
                  <c:v>5.9482758620689656E-2</c:v>
                </c:pt>
                <c:pt idx="57">
                  <c:v>5.8898305084745764E-2</c:v>
                </c:pt>
                <c:pt idx="58">
                  <c:v>5.8333333333333334E-2</c:v>
                </c:pt>
                <c:pt idx="59">
                  <c:v>5.7786885245901642E-2</c:v>
                </c:pt>
                <c:pt idx="60">
                  <c:v>5.7258064516129033E-2</c:v>
                </c:pt>
                <c:pt idx="61">
                  <c:v>5.6746031746031746E-2</c:v>
                </c:pt>
                <c:pt idx="62">
                  <c:v>5.6250000000000001E-2</c:v>
                </c:pt>
                <c:pt idx="63">
                  <c:v>5.5769230769230772E-2</c:v>
                </c:pt>
                <c:pt idx="64">
                  <c:v>5.5303030303030305E-2</c:v>
                </c:pt>
                <c:pt idx="65">
                  <c:v>5.4850746268656714E-2</c:v>
                </c:pt>
                <c:pt idx="66">
                  <c:v>5.4411764705882347E-2</c:v>
                </c:pt>
                <c:pt idx="67">
                  <c:v>5.398550724637681E-2</c:v>
                </c:pt>
                <c:pt idx="68">
                  <c:v>5.3571428571428575E-2</c:v>
                </c:pt>
                <c:pt idx="69">
                  <c:v>5.3169014084507041E-2</c:v>
                </c:pt>
                <c:pt idx="70">
                  <c:v>5.2777777777777778E-2</c:v>
                </c:pt>
                <c:pt idx="71">
                  <c:v>5.2397260273972603E-2</c:v>
                </c:pt>
                <c:pt idx="72">
                  <c:v>5.202702702702703E-2</c:v>
                </c:pt>
                <c:pt idx="73">
                  <c:v>5.1666666666666666E-2</c:v>
                </c:pt>
                <c:pt idx="74">
                  <c:v>5.131578947368421E-2</c:v>
                </c:pt>
                <c:pt idx="75">
                  <c:v>5.0974025974025977E-2</c:v>
                </c:pt>
                <c:pt idx="76">
                  <c:v>5.0641025641025642E-2</c:v>
                </c:pt>
                <c:pt idx="77">
                  <c:v>5.0316455696202536E-2</c:v>
                </c:pt>
              </c:numCache>
            </c:numRef>
          </c:yVal>
          <c:smooth val="1"/>
        </c:ser>
        <c:axId val="133729664"/>
        <c:axId val="133735936"/>
      </c:scatterChart>
      <c:scatterChart>
        <c:scatterStyle val="lineMarker"/>
        <c:ser>
          <c:idx val="0"/>
          <c:order val="0"/>
          <c:tx>
            <c:strRef>
              <c:f>'calcoli GRAFICO'!$A$3:$D$3</c:f>
              <c:strCache>
                <c:ptCount val="1"/>
                <c:pt idx="0">
                  <c:v>Grado di complessità opere da DM 17 giugno 2016: Edilizia E.04 (90% del Tot.) - Strutture S.03 (5% del Tot.) - Impianti IA.03 (3% del Tot.) - Paesaggio P.01 (1% del Tot.) - Territorio U.01 (1% del Tot.). Complessità Titoli Edilizi: A. Tutte le prestazioni</c:v>
                </c:pt>
              </c:strCache>
            </c:strRef>
          </c:tx>
          <c:spPr>
            <a:ln w="38100">
              <a:solidFill>
                <a:srgbClr val="0070C0"/>
              </a:solidFill>
            </a:ln>
          </c:spPr>
          <c:marker>
            <c:symbol val="none"/>
          </c:marker>
          <c:xVal>
            <c:numRef>
              <c:f>'calcoli GRAFICO'!$A$4:$A$198</c:f>
              <c:numCache>
                <c:formatCode>_-* #,##000\ "€"_-;\-* #,##000\ "€"_-;_-* "-"??\ "€"_-;_-@_-</c:formatCode>
                <c:ptCount val="195"/>
                <c:pt idx="0">
                  <c:v>50000</c:v>
                </c:pt>
                <c:pt idx="1">
                  <c:v>75000</c:v>
                </c:pt>
                <c:pt idx="2">
                  <c:v>100000</c:v>
                </c:pt>
                <c:pt idx="3">
                  <c:v>125000</c:v>
                </c:pt>
                <c:pt idx="4">
                  <c:v>150000</c:v>
                </c:pt>
                <c:pt idx="5">
                  <c:v>175000</c:v>
                </c:pt>
                <c:pt idx="6">
                  <c:v>200000</c:v>
                </c:pt>
                <c:pt idx="7">
                  <c:v>225000</c:v>
                </c:pt>
                <c:pt idx="8">
                  <c:v>250000</c:v>
                </c:pt>
                <c:pt idx="9">
                  <c:v>275000</c:v>
                </c:pt>
                <c:pt idx="10">
                  <c:v>300000</c:v>
                </c:pt>
                <c:pt idx="11">
                  <c:v>325000</c:v>
                </c:pt>
                <c:pt idx="12">
                  <c:v>350000</c:v>
                </c:pt>
                <c:pt idx="13">
                  <c:v>375000</c:v>
                </c:pt>
                <c:pt idx="14">
                  <c:v>400000</c:v>
                </c:pt>
                <c:pt idx="15">
                  <c:v>425000</c:v>
                </c:pt>
                <c:pt idx="16">
                  <c:v>450000</c:v>
                </c:pt>
                <c:pt idx="17">
                  <c:v>475000</c:v>
                </c:pt>
                <c:pt idx="18">
                  <c:v>500000</c:v>
                </c:pt>
                <c:pt idx="19">
                  <c:v>525000</c:v>
                </c:pt>
                <c:pt idx="20">
                  <c:v>550000</c:v>
                </c:pt>
                <c:pt idx="21">
                  <c:v>575000</c:v>
                </c:pt>
                <c:pt idx="22">
                  <c:v>600000</c:v>
                </c:pt>
                <c:pt idx="23">
                  <c:v>625000</c:v>
                </c:pt>
                <c:pt idx="24">
                  <c:v>650000</c:v>
                </c:pt>
                <c:pt idx="25">
                  <c:v>675000</c:v>
                </c:pt>
                <c:pt idx="26">
                  <c:v>700000</c:v>
                </c:pt>
                <c:pt idx="27">
                  <c:v>725000</c:v>
                </c:pt>
                <c:pt idx="28">
                  <c:v>750000</c:v>
                </c:pt>
                <c:pt idx="29">
                  <c:v>775000</c:v>
                </c:pt>
                <c:pt idx="30">
                  <c:v>800000</c:v>
                </c:pt>
                <c:pt idx="31">
                  <c:v>825000</c:v>
                </c:pt>
                <c:pt idx="32">
                  <c:v>850000</c:v>
                </c:pt>
                <c:pt idx="33">
                  <c:v>875000</c:v>
                </c:pt>
                <c:pt idx="34">
                  <c:v>900000</c:v>
                </c:pt>
                <c:pt idx="35">
                  <c:v>925000</c:v>
                </c:pt>
                <c:pt idx="36">
                  <c:v>950000</c:v>
                </c:pt>
                <c:pt idx="37">
                  <c:v>975000</c:v>
                </c:pt>
                <c:pt idx="38">
                  <c:v>1000000</c:v>
                </c:pt>
                <c:pt idx="39">
                  <c:v>1025000</c:v>
                </c:pt>
                <c:pt idx="40">
                  <c:v>1050000</c:v>
                </c:pt>
                <c:pt idx="41">
                  <c:v>1075000</c:v>
                </c:pt>
                <c:pt idx="42">
                  <c:v>1100000</c:v>
                </c:pt>
                <c:pt idx="43">
                  <c:v>1125000</c:v>
                </c:pt>
                <c:pt idx="44">
                  <c:v>1150000</c:v>
                </c:pt>
                <c:pt idx="45">
                  <c:v>1175000</c:v>
                </c:pt>
                <c:pt idx="46">
                  <c:v>1200000</c:v>
                </c:pt>
                <c:pt idx="47">
                  <c:v>1225000</c:v>
                </c:pt>
                <c:pt idx="48">
                  <c:v>1250000</c:v>
                </c:pt>
                <c:pt idx="49">
                  <c:v>1275000</c:v>
                </c:pt>
                <c:pt idx="50">
                  <c:v>1300000</c:v>
                </c:pt>
                <c:pt idx="51">
                  <c:v>1325000</c:v>
                </c:pt>
                <c:pt idx="52">
                  <c:v>1350000</c:v>
                </c:pt>
                <c:pt idx="53">
                  <c:v>1375000</c:v>
                </c:pt>
                <c:pt idx="54">
                  <c:v>1400000</c:v>
                </c:pt>
                <c:pt idx="55">
                  <c:v>1425000</c:v>
                </c:pt>
                <c:pt idx="56">
                  <c:v>1450000</c:v>
                </c:pt>
                <c:pt idx="57">
                  <c:v>1475000</c:v>
                </c:pt>
                <c:pt idx="58">
                  <c:v>1500000</c:v>
                </c:pt>
                <c:pt idx="59">
                  <c:v>1525000</c:v>
                </c:pt>
                <c:pt idx="60">
                  <c:v>1550000</c:v>
                </c:pt>
                <c:pt idx="61">
                  <c:v>1575000</c:v>
                </c:pt>
                <c:pt idx="62">
                  <c:v>1600000</c:v>
                </c:pt>
                <c:pt idx="63">
                  <c:v>1625000</c:v>
                </c:pt>
                <c:pt idx="64">
                  <c:v>1650000</c:v>
                </c:pt>
                <c:pt idx="65">
                  <c:v>1675000</c:v>
                </c:pt>
                <c:pt idx="66">
                  <c:v>1700000</c:v>
                </c:pt>
                <c:pt idx="67">
                  <c:v>1725000</c:v>
                </c:pt>
                <c:pt idx="68">
                  <c:v>1750000</c:v>
                </c:pt>
                <c:pt idx="69">
                  <c:v>1775000</c:v>
                </c:pt>
                <c:pt idx="70">
                  <c:v>1800000</c:v>
                </c:pt>
                <c:pt idx="71">
                  <c:v>1825000</c:v>
                </c:pt>
                <c:pt idx="72">
                  <c:v>1850000</c:v>
                </c:pt>
                <c:pt idx="73">
                  <c:v>1875000</c:v>
                </c:pt>
                <c:pt idx="74">
                  <c:v>1900000</c:v>
                </c:pt>
                <c:pt idx="75">
                  <c:v>1925000</c:v>
                </c:pt>
                <c:pt idx="76">
                  <c:v>1950000</c:v>
                </c:pt>
                <c:pt idx="77">
                  <c:v>1975000</c:v>
                </c:pt>
              </c:numCache>
            </c:numRef>
          </c:xVal>
          <c:yVal>
            <c:numRef>
              <c:f>'calcoli GRAFICO'!$D$4:$D$198</c:f>
              <c:numCache>
                <c:formatCode>0.000%</c:formatCode>
                <c:ptCount val="195"/>
                <c:pt idx="0">
                  <c:v>9.9709799260830609E-2</c:v>
                </c:pt>
                <c:pt idx="1">
                  <c:v>9.5618591284841153E-2</c:v>
                </c:pt>
                <c:pt idx="2">
                  <c:v>9.3678388428561479E-2</c:v>
                </c:pt>
                <c:pt idx="3">
                  <c:v>9.2706183022148295E-2</c:v>
                </c:pt>
                <c:pt idx="4">
                  <c:v>9.2620798206159247E-2</c:v>
                </c:pt>
                <c:pt idx="5">
                  <c:v>9.2193231579028354E-2</c:v>
                </c:pt>
                <c:pt idx="6">
                  <c:v>9.1800512046387048E-2</c:v>
                </c:pt>
                <c:pt idx="7">
                  <c:v>9.1424806294734665E-2</c:v>
                </c:pt>
                <c:pt idx="8">
                  <c:v>9.1058549269625741E-2</c:v>
                </c:pt>
                <c:pt idx="9">
                  <c:v>9.0698711424328921E-2</c:v>
                </c:pt>
                <c:pt idx="10">
                  <c:v>8.91213043467491E-2</c:v>
                </c:pt>
                <c:pt idx="11">
                  <c:v>8.880478393710875E-2</c:v>
                </c:pt>
                <c:pt idx="12">
                  <c:v>8.8483133713154569E-2</c:v>
                </c:pt>
                <c:pt idx="13">
                  <c:v>8.816178164367329E-2</c:v>
                </c:pt>
                <c:pt idx="14">
                  <c:v>8.7843115926102056E-2</c:v>
                </c:pt>
                <c:pt idx="15">
                  <c:v>8.7528492609333861E-2</c:v>
                </c:pt>
                <c:pt idx="16">
                  <c:v>8.7218760157303524E-2</c:v>
                </c:pt>
                <c:pt idx="17">
                  <c:v>8.6914465966568724E-2</c:v>
                </c:pt>
                <c:pt idx="18">
                  <c:v>8.6615959317986518E-2</c:v>
                </c:pt>
                <c:pt idx="19">
                  <c:v>8.6163731080470998E-2</c:v>
                </c:pt>
                <c:pt idx="20">
                  <c:v>8.5725992081561217E-2</c:v>
                </c:pt>
                <c:pt idx="21">
                  <c:v>7.9577831399508608E-2</c:v>
                </c:pt>
                <c:pt idx="22">
                  <c:v>7.8768702760362422E-2</c:v>
                </c:pt>
                <c:pt idx="23">
                  <c:v>7.7997856092138815E-2</c:v>
                </c:pt>
                <c:pt idx="24">
                  <c:v>7.7265808695506533E-2</c:v>
                </c:pt>
                <c:pt idx="25">
                  <c:v>7.6570493467407269E-2</c:v>
                </c:pt>
                <c:pt idx="26">
                  <c:v>7.5909400228933485E-2</c:v>
                </c:pt>
                <c:pt idx="27">
                  <c:v>7.5280035923007374E-2</c:v>
                </c:pt>
                <c:pt idx="28">
                  <c:v>7.4680056973429262E-2</c:v>
                </c:pt>
                <c:pt idx="29">
                  <c:v>7.4107305390557418E-2</c:v>
                </c:pt>
                <c:pt idx="30">
                  <c:v>7.3559811120792767E-2</c:v>
                </c:pt>
                <c:pt idx="31">
                  <c:v>7.3035781855290527E-2</c:v>
                </c:pt>
                <c:pt idx="32">
                  <c:v>7.249205365068502E-2</c:v>
                </c:pt>
                <c:pt idx="33">
                  <c:v>7.1950005514154008E-2</c:v>
                </c:pt>
                <c:pt idx="34">
                  <c:v>7.142932510693506E-2</c:v>
                </c:pt>
                <c:pt idx="35">
                  <c:v>7.0928628868927784E-2</c:v>
                </c:pt>
                <c:pt idx="36">
                  <c:v>7.0446653939815321E-2</c:v>
                </c:pt>
                <c:pt idx="37">
                  <c:v>6.9982245457810788E-2</c:v>
                </c:pt>
                <c:pt idx="38">
                  <c:v>6.9534345309409704E-2</c:v>
                </c:pt>
                <c:pt idx="39">
                  <c:v>6.7035506397444114E-2</c:v>
                </c:pt>
                <c:pt idx="40">
                  <c:v>6.5712098099532906E-2</c:v>
                </c:pt>
                <c:pt idx="41">
                  <c:v>6.4455863652712622E-2</c:v>
                </c:pt>
                <c:pt idx="42">
                  <c:v>6.3261862129715379E-2</c:v>
                </c:pt>
                <c:pt idx="43">
                  <c:v>6.2145267865031481E-2</c:v>
                </c:pt>
                <c:pt idx="44">
                  <c:v>6.1076868561022478E-2</c:v>
                </c:pt>
                <c:pt idx="45">
                  <c:v>6.0053303286668587E-2</c:v>
                </c:pt>
                <c:pt idx="46">
                  <c:v>5.9073922046053932E-2</c:v>
                </c:pt>
                <c:pt idx="47">
                  <c:v>5.8136576060157222E-2</c:v>
                </c:pt>
                <c:pt idx="48">
                  <c:v>5.723891928354672E-2</c:v>
                </c:pt>
                <c:pt idx="49">
                  <c:v>5.637865314352173E-2</c:v>
                </c:pt>
                <c:pt idx="50">
                  <c:v>5.5553595242325872E-2</c:v>
                </c:pt>
                <c:pt idx="51">
                  <c:v>5.4761698563238662E-2</c:v>
                </c:pt>
                <c:pt idx="52">
                  <c:v>5.4001053222805261E-2</c:v>
                </c:pt>
                <c:pt idx="53">
                  <c:v>5.3269881411491735E-2</c:v>
                </c:pt>
                <c:pt idx="54">
                  <c:v>5.2566529677531955E-2</c:v>
                </c:pt>
                <c:pt idx="55">
                  <c:v>5.1889460347185633E-2</c:v>
                </c:pt>
                <c:pt idx="56">
                  <c:v>5.1237242900007363E-2</c:v>
                </c:pt>
                <c:pt idx="57">
                  <c:v>5.0608545678020485E-2</c:v>
                </c:pt>
                <c:pt idx="58">
                  <c:v>5.0002128096503458E-2</c:v>
                </c:pt>
                <c:pt idx="59">
                  <c:v>4.9416833418461058E-2</c:v>
                </c:pt>
                <c:pt idx="60">
                  <c:v>4.8851582100992282E-2</c:v>
                </c:pt>
                <c:pt idx="61">
                  <c:v>4.8305365694479754E-2</c:v>
                </c:pt>
                <c:pt idx="62">
                  <c:v>4.7777241262335818E-2</c:v>
                </c:pt>
                <c:pt idx="63">
                  <c:v>4.7266326283479022E-2</c:v>
                </c:pt>
                <c:pt idx="64">
                  <c:v>4.6771793998311419E-2</c:v>
                </c:pt>
                <c:pt idx="65">
                  <c:v>4.6292869159805378E-2</c:v>
                </c:pt>
                <c:pt idx="66">
                  <c:v>4.5828824153305837E-2</c:v>
                </c:pt>
                <c:pt idx="67">
                  <c:v>4.5378975451198927E-2</c:v>
                </c:pt>
                <c:pt idx="68">
                  <c:v>4.4942680371337702E-2</c:v>
                </c:pt>
                <c:pt idx="69">
                  <c:v>4.4519334110850607E-2</c:v>
                </c:pt>
                <c:pt idx="70">
                  <c:v>4.4108367029583297E-2</c:v>
                </c:pt>
                <c:pt idx="71">
                  <c:v>4.3709242159880438E-2</c:v>
                </c:pt>
                <c:pt idx="72">
                  <c:v>4.3321452921679472E-2</c:v>
                </c:pt>
                <c:pt idx="73">
                  <c:v>4.2944521023955143E-2</c:v>
                </c:pt>
                <c:pt idx="74">
                  <c:v>4.2577994535428106E-2</c:v>
                </c:pt>
                <c:pt idx="75">
                  <c:v>4.222144610914326E-2</c:v>
                </c:pt>
                <c:pt idx="76">
                  <c:v>4.1874471347044799E-2</c:v>
                </c:pt>
                <c:pt idx="77">
                  <c:v>4.1536687292043482E-2</c:v>
                </c:pt>
              </c:numCache>
            </c:numRef>
          </c:yVal>
        </c:ser>
        <c:ser>
          <c:idx val="2"/>
          <c:order val="2"/>
          <c:tx>
            <c:strRef>
              <c:f>'calcoli GRAFICO'!$F$3:$I$3</c:f>
              <c:strCache>
                <c:ptCount val="1"/>
                <c:pt idx="0">
                  <c:v>Grado di complessità opere da DM 17 giugno 2016: Edilizia E.01 (90% del Tot.) - Strutture S.01 (5% del Tot.) - Impianti IA.01 (3% del Tot.) - Paesaggio P.01 (1% del Tot.) - Territorio U.01 (1% del Tot.). Complessità Titoli Edilizi: B. Selezione di tutte l</c:v>
                </c:pt>
              </c:strCache>
            </c:strRef>
          </c:tx>
          <c:spPr>
            <a:ln w="28575">
              <a:solidFill>
                <a:srgbClr val="FFC000"/>
              </a:solidFill>
            </a:ln>
          </c:spPr>
          <c:marker>
            <c:symbol val="none"/>
          </c:marker>
          <c:xVal>
            <c:numRef>
              <c:f>'calcoli GRAFICO'!$F$4:$F$198</c:f>
              <c:numCache>
                <c:formatCode>_-* #,##000\ "€"_-;\-* #,##000\ "€"_-;_-* "-"??\ "€"_-;_-@_-</c:formatCode>
                <c:ptCount val="195"/>
                <c:pt idx="0">
                  <c:v>50000</c:v>
                </c:pt>
                <c:pt idx="1">
                  <c:v>75000</c:v>
                </c:pt>
                <c:pt idx="2">
                  <c:v>100000</c:v>
                </c:pt>
                <c:pt idx="3">
                  <c:v>125000</c:v>
                </c:pt>
                <c:pt idx="4">
                  <c:v>150000</c:v>
                </c:pt>
                <c:pt idx="5">
                  <c:v>175000</c:v>
                </c:pt>
                <c:pt idx="6">
                  <c:v>200000</c:v>
                </c:pt>
                <c:pt idx="7">
                  <c:v>225000</c:v>
                </c:pt>
                <c:pt idx="8">
                  <c:v>250000</c:v>
                </c:pt>
                <c:pt idx="9">
                  <c:v>275000</c:v>
                </c:pt>
                <c:pt idx="10">
                  <c:v>300000</c:v>
                </c:pt>
                <c:pt idx="11">
                  <c:v>325000</c:v>
                </c:pt>
                <c:pt idx="12">
                  <c:v>350000</c:v>
                </c:pt>
                <c:pt idx="13">
                  <c:v>375000</c:v>
                </c:pt>
                <c:pt idx="14">
                  <c:v>400000</c:v>
                </c:pt>
                <c:pt idx="15">
                  <c:v>425000</c:v>
                </c:pt>
                <c:pt idx="16">
                  <c:v>450000</c:v>
                </c:pt>
                <c:pt idx="17">
                  <c:v>475000</c:v>
                </c:pt>
                <c:pt idx="18">
                  <c:v>500000</c:v>
                </c:pt>
                <c:pt idx="19">
                  <c:v>525000</c:v>
                </c:pt>
                <c:pt idx="20">
                  <c:v>550000</c:v>
                </c:pt>
                <c:pt idx="21">
                  <c:v>575000</c:v>
                </c:pt>
                <c:pt idx="22">
                  <c:v>600000</c:v>
                </c:pt>
                <c:pt idx="23">
                  <c:v>625000</c:v>
                </c:pt>
                <c:pt idx="24">
                  <c:v>650000</c:v>
                </c:pt>
                <c:pt idx="25">
                  <c:v>675000</c:v>
                </c:pt>
                <c:pt idx="26">
                  <c:v>700000</c:v>
                </c:pt>
                <c:pt idx="27">
                  <c:v>725000</c:v>
                </c:pt>
                <c:pt idx="28">
                  <c:v>750000</c:v>
                </c:pt>
                <c:pt idx="29">
                  <c:v>775000</c:v>
                </c:pt>
                <c:pt idx="30">
                  <c:v>800000</c:v>
                </c:pt>
                <c:pt idx="31">
                  <c:v>825000</c:v>
                </c:pt>
                <c:pt idx="32">
                  <c:v>850000</c:v>
                </c:pt>
                <c:pt idx="33">
                  <c:v>875000</c:v>
                </c:pt>
                <c:pt idx="34">
                  <c:v>900000</c:v>
                </c:pt>
                <c:pt idx="35">
                  <c:v>925000</c:v>
                </c:pt>
                <c:pt idx="36">
                  <c:v>950000</c:v>
                </c:pt>
                <c:pt idx="37">
                  <c:v>975000</c:v>
                </c:pt>
                <c:pt idx="38">
                  <c:v>1000000</c:v>
                </c:pt>
                <c:pt idx="39">
                  <c:v>1025000</c:v>
                </c:pt>
                <c:pt idx="40">
                  <c:v>1050000</c:v>
                </c:pt>
                <c:pt idx="41">
                  <c:v>1075000</c:v>
                </c:pt>
                <c:pt idx="42">
                  <c:v>1100000</c:v>
                </c:pt>
                <c:pt idx="43">
                  <c:v>1125000</c:v>
                </c:pt>
                <c:pt idx="44">
                  <c:v>1150000</c:v>
                </c:pt>
                <c:pt idx="45">
                  <c:v>1175000</c:v>
                </c:pt>
                <c:pt idx="46">
                  <c:v>1200000</c:v>
                </c:pt>
                <c:pt idx="47">
                  <c:v>1225000</c:v>
                </c:pt>
                <c:pt idx="48">
                  <c:v>1250000</c:v>
                </c:pt>
                <c:pt idx="49">
                  <c:v>1275000</c:v>
                </c:pt>
                <c:pt idx="50">
                  <c:v>1300000</c:v>
                </c:pt>
                <c:pt idx="51">
                  <c:v>1325000</c:v>
                </c:pt>
                <c:pt idx="52">
                  <c:v>1350000</c:v>
                </c:pt>
                <c:pt idx="53">
                  <c:v>1375000</c:v>
                </c:pt>
                <c:pt idx="54">
                  <c:v>1400000</c:v>
                </c:pt>
                <c:pt idx="55">
                  <c:v>1425000</c:v>
                </c:pt>
                <c:pt idx="56">
                  <c:v>1450000</c:v>
                </c:pt>
                <c:pt idx="57">
                  <c:v>1475000</c:v>
                </c:pt>
                <c:pt idx="58">
                  <c:v>1500000</c:v>
                </c:pt>
                <c:pt idx="59">
                  <c:v>1525000</c:v>
                </c:pt>
                <c:pt idx="60">
                  <c:v>1550000</c:v>
                </c:pt>
                <c:pt idx="61">
                  <c:v>1575000</c:v>
                </c:pt>
                <c:pt idx="62">
                  <c:v>1600000</c:v>
                </c:pt>
                <c:pt idx="63">
                  <c:v>1625000</c:v>
                </c:pt>
                <c:pt idx="64">
                  <c:v>1650000</c:v>
                </c:pt>
                <c:pt idx="65">
                  <c:v>1675000</c:v>
                </c:pt>
                <c:pt idx="66">
                  <c:v>1700000</c:v>
                </c:pt>
                <c:pt idx="67">
                  <c:v>1725000</c:v>
                </c:pt>
                <c:pt idx="68">
                  <c:v>1750000</c:v>
                </c:pt>
                <c:pt idx="69">
                  <c:v>1775000</c:v>
                </c:pt>
                <c:pt idx="70">
                  <c:v>1800000</c:v>
                </c:pt>
                <c:pt idx="71">
                  <c:v>1825000</c:v>
                </c:pt>
                <c:pt idx="72">
                  <c:v>1850000</c:v>
                </c:pt>
                <c:pt idx="73">
                  <c:v>1875000</c:v>
                </c:pt>
                <c:pt idx="74">
                  <c:v>1900000</c:v>
                </c:pt>
                <c:pt idx="75">
                  <c:v>1925000</c:v>
                </c:pt>
                <c:pt idx="76">
                  <c:v>1950000</c:v>
                </c:pt>
                <c:pt idx="77">
                  <c:v>1975000</c:v>
                </c:pt>
              </c:numCache>
            </c:numRef>
          </c:xVal>
          <c:yVal>
            <c:numRef>
              <c:f>'calcoli GRAFICO'!$I$4:$I$198</c:f>
              <c:numCache>
                <c:formatCode>0,00%</c:formatCode>
                <c:ptCount val="195"/>
                <c:pt idx="0">
                  <c:v>7.6715679136678205E-2</c:v>
                </c:pt>
                <c:pt idx="1">
                  <c:v>7.186453077660894E-2</c:v>
                </c:pt>
                <c:pt idx="2">
                  <c:v>6.9180049967767193E-2</c:v>
                </c:pt>
                <c:pt idx="3">
                  <c:v>6.7493161709608188E-2</c:v>
                </c:pt>
                <c:pt idx="4">
                  <c:v>6.6572743719625599E-2</c:v>
                </c:pt>
                <c:pt idx="5">
                  <c:v>6.5662440477921954E-2</c:v>
                </c:pt>
                <c:pt idx="6">
                  <c:v>6.4906429387517478E-2</c:v>
                </c:pt>
                <c:pt idx="7">
                  <c:v>6.4243511350232776E-2</c:v>
                </c:pt>
                <c:pt idx="8">
                  <c:v>6.3661422965512582E-2</c:v>
                </c:pt>
                <c:pt idx="9">
                  <c:v>6.3132383441691767E-2</c:v>
                </c:pt>
                <c:pt idx="10">
                  <c:v>6.2033593492877417E-2</c:v>
                </c:pt>
                <c:pt idx="11">
                  <c:v>6.1611880390849277E-2</c:v>
                </c:pt>
                <c:pt idx="12">
                  <c:v>6.1204912563268328E-2</c:v>
                </c:pt>
                <c:pt idx="13">
                  <c:v>6.0831170178053548E-2</c:v>
                </c:pt>
                <c:pt idx="14">
                  <c:v>6.0472798221841005E-2</c:v>
                </c:pt>
                <c:pt idx="15">
                  <c:v>6.0131789226528447E-2</c:v>
                </c:pt>
                <c:pt idx="16">
                  <c:v>5.981099714559255E-2</c:v>
                </c:pt>
                <c:pt idx="17">
                  <c:v>5.9505305127778775E-2</c:v>
                </c:pt>
                <c:pt idx="18">
                  <c:v>5.9210498191946827E-2</c:v>
                </c:pt>
                <c:pt idx="19">
                  <c:v>5.880799451784121E-2</c:v>
                </c:pt>
                <c:pt idx="20">
                  <c:v>5.8424845367663465E-2</c:v>
                </c:pt>
                <c:pt idx="21">
                  <c:v>5.5112279493407919E-2</c:v>
                </c:pt>
                <c:pt idx="22">
                  <c:v>5.4555692216381908E-2</c:v>
                </c:pt>
                <c:pt idx="23">
                  <c:v>5.402695679181458E-2</c:v>
                </c:pt>
                <c:pt idx="24">
                  <c:v>5.3525462910286967E-2</c:v>
                </c:pt>
                <c:pt idx="25">
                  <c:v>5.3049453205905921E-2</c:v>
                </c:pt>
                <c:pt idx="26">
                  <c:v>5.259704712691108E-2</c:v>
                </c:pt>
                <c:pt idx="27">
                  <c:v>5.2166450580380601E-2</c:v>
                </c:pt>
                <c:pt idx="28">
                  <c:v>5.1756008725485393E-2</c:v>
                </c:pt>
                <c:pt idx="29">
                  <c:v>5.1364213995127084E-2</c:v>
                </c:pt>
                <c:pt idx="30">
                  <c:v>5.0989699326477303E-2</c:v>
                </c:pt>
                <c:pt idx="31">
                  <c:v>5.0631226599319949E-2</c:v>
                </c:pt>
                <c:pt idx="32">
                  <c:v>5.0258785378424729E-2</c:v>
                </c:pt>
                <c:pt idx="33">
                  <c:v>4.9887257989081495E-2</c:v>
                </c:pt>
                <c:pt idx="34">
                  <c:v>4.9530350860451766E-2</c:v>
                </c:pt>
                <c:pt idx="35">
                  <c:v>4.9187114768619256E-2</c:v>
                </c:pt>
                <c:pt idx="36">
                  <c:v>4.885668410152888E-2</c:v>
                </c:pt>
                <c:pt idx="37">
                  <c:v>4.853826785062524E-2</c:v>
                </c:pt>
                <c:pt idx="38">
                  <c:v>4.823114169318149E-2</c:v>
                </c:pt>
                <c:pt idx="39">
                  <c:v>4.6869733329101666E-2</c:v>
                </c:pt>
                <c:pt idx="40">
                  <c:v>4.611653182901998E-2</c:v>
                </c:pt>
                <c:pt idx="41">
                  <c:v>4.5400283332468851E-2</c:v>
                </c:pt>
                <c:pt idx="42">
                  <c:v>4.4718314230621357E-2</c:v>
                </c:pt>
                <c:pt idx="43">
                  <c:v>4.4077755728813013E-2</c:v>
                </c:pt>
                <c:pt idx="44">
                  <c:v>4.3464175327765676E-2</c:v>
                </c:pt>
                <c:pt idx="45">
                  <c:v>4.28757300972935E-2</c:v>
                </c:pt>
                <c:pt idx="46">
                  <c:v>4.2311912034673771E-2</c:v>
                </c:pt>
                <c:pt idx="47">
                  <c:v>4.1771499301018214E-2</c:v>
                </c:pt>
                <c:pt idx="48">
                  <c:v>4.1253187663463288E-2</c:v>
                </c:pt>
                <c:pt idx="49">
                  <c:v>4.0755708215314761E-2</c:v>
                </c:pt>
                <c:pt idx="50">
                  <c:v>4.0277859639295165E-2</c:v>
                </c:pt>
                <c:pt idx="51">
                  <c:v>3.9818516529180774E-2</c:v>
                </c:pt>
                <c:pt idx="52">
                  <c:v>3.9376629335053932E-2</c:v>
                </c:pt>
                <c:pt idx="53">
                  <c:v>3.8951221093346061E-2</c:v>
                </c:pt>
                <c:pt idx="54">
                  <c:v>3.8541382950064332E-2</c:v>
                </c:pt>
                <c:pt idx="55">
                  <c:v>3.8146269338887748E-2</c:v>
                </c:pt>
                <c:pt idx="56">
                  <c:v>3.7765093203289718E-2</c:v>
                </c:pt>
                <c:pt idx="57">
                  <c:v>3.7397121439220922E-2</c:v>
                </c:pt>
                <c:pt idx="58">
                  <c:v>3.7041670633209026E-2</c:v>
                </c:pt>
                <c:pt idx="59">
                  <c:v>3.6698103120233423E-2</c:v>
                </c:pt>
                <c:pt idx="60">
                  <c:v>3.6365823360285647E-2</c:v>
                </c:pt>
                <c:pt idx="61">
                  <c:v>3.6044274619896302E-2</c:v>
                </c:pt>
                <c:pt idx="62">
                  <c:v>3.5732935939044842E-2</c:v>
                </c:pt>
                <c:pt idx="63">
                  <c:v>3.543131936163791E-2</c:v>
                </c:pt>
                <c:pt idx="64">
                  <c:v>3.5138967407470564E-2</c:v>
                </c:pt>
                <c:pt idx="65">
                  <c:v>3.4855450764346471E-2</c:v>
                </c:pt>
                <c:pt idx="66">
                  <c:v>3.4580366180314084E-2</c:v>
                </c:pt>
                <c:pt idx="67">
                  <c:v>3.4313334537481678E-2</c:v>
                </c:pt>
                <c:pt idx="68">
                  <c:v>3.4053999090441087E-2</c:v>
                </c:pt>
                <c:pt idx="69">
                  <c:v>3.3802023853865104E-2</c:v>
                </c:pt>
                <c:pt idx="70">
                  <c:v>3.3557092125299434E-2</c:v>
                </c:pt>
                <c:pt idx="71">
                  <c:v>3.3318905130522415E-2</c:v>
                </c:pt>
                <c:pt idx="72">
                  <c:v>3.3087180780085559E-2</c:v>
                </c:pt>
                <c:pt idx="73">
                  <c:v>3.2861652526775829E-2</c:v>
                </c:pt>
                <c:pt idx="74">
                  <c:v>3.264206831475959E-2</c:v>
                </c:pt>
                <c:pt idx="75">
                  <c:v>3.2428189612086641E-2</c:v>
                </c:pt>
                <c:pt idx="76">
                  <c:v>3.2219790519057045E-2</c:v>
                </c:pt>
                <c:pt idx="77">
                  <c:v>3.2016656945694034E-2</c:v>
                </c:pt>
              </c:numCache>
            </c:numRef>
          </c:yVal>
        </c:ser>
        <c:ser>
          <c:idx val="4"/>
          <c:order val="3"/>
          <c:tx>
            <c:strRef>
              <c:f>'calcoli GRAFICO'!$T$2</c:f>
              <c:strCache>
                <c:ptCount val="1"/>
                <c:pt idx="0">
                  <c:v>Calcolo come da valori DM. - Grado di complessità ALTA opere da DM 17 giugno 2016: Edilizia E.04 (90% del Tot.)- Strutture S.03 (5% del Tot.) - Impianti IA.04 (3% del Tot.) - Paesaggio P.01 (1% del Tot.) - Territorio U.01 (1% del Tot.). Complessità Titoli</c:v>
                </c:pt>
              </c:strCache>
            </c:strRef>
          </c:tx>
          <c:marker>
            <c:symbol val="none"/>
          </c:marker>
          <c:xVal>
            <c:numRef>
              <c:f>'calcoli GRAFICO'!$T$4:$T$198</c:f>
              <c:numCache>
                <c:formatCode>_-* #,##000\ "€"_-;\-* #,##000\ "€"_-;_-* "-"??\ "€"_-;_-@_-</c:formatCode>
                <c:ptCount val="195"/>
                <c:pt idx="0">
                  <c:v>50000</c:v>
                </c:pt>
                <c:pt idx="1">
                  <c:v>75000</c:v>
                </c:pt>
                <c:pt idx="2">
                  <c:v>100000</c:v>
                </c:pt>
                <c:pt idx="3">
                  <c:v>125000</c:v>
                </c:pt>
                <c:pt idx="4">
                  <c:v>150000</c:v>
                </c:pt>
                <c:pt idx="5">
                  <c:v>175000</c:v>
                </c:pt>
                <c:pt idx="6">
                  <c:v>200000</c:v>
                </c:pt>
                <c:pt idx="7">
                  <c:v>225000</c:v>
                </c:pt>
                <c:pt idx="8">
                  <c:v>250000</c:v>
                </c:pt>
                <c:pt idx="9">
                  <c:v>275000</c:v>
                </c:pt>
                <c:pt idx="10">
                  <c:v>300000</c:v>
                </c:pt>
                <c:pt idx="11">
                  <c:v>325000</c:v>
                </c:pt>
                <c:pt idx="12">
                  <c:v>350000</c:v>
                </c:pt>
                <c:pt idx="13">
                  <c:v>375000</c:v>
                </c:pt>
                <c:pt idx="14">
                  <c:v>400000</c:v>
                </c:pt>
                <c:pt idx="15">
                  <c:v>425000</c:v>
                </c:pt>
                <c:pt idx="16">
                  <c:v>450000</c:v>
                </c:pt>
                <c:pt idx="17">
                  <c:v>475000</c:v>
                </c:pt>
                <c:pt idx="18">
                  <c:v>500000</c:v>
                </c:pt>
                <c:pt idx="19">
                  <c:v>525000</c:v>
                </c:pt>
                <c:pt idx="20">
                  <c:v>550000</c:v>
                </c:pt>
                <c:pt idx="21">
                  <c:v>575000</c:v>
                </c:pt>
                <c:pt idx="22">
                  <c:v>600000</c:v>
                </c:pt>
                <c:pt idx="23">
                  <c:v>625000</c:v>
                </c:pt>
                <c:pt idx="24">
                  <c:v>650000</c:v>
                </c:pt>
                <c:pt idx="25">
                  <c:v>675000</c:v>
                </c:pt>
                <c:pt idx="26">
                  <c:v>700000</c:v>
                </c:pt>
                <c:pt idx="27">
                  <c:v>725000</c:v>
                </c:pt>
                <c:pt idx="28">
                  <c:v>750000</c:v>
                </c:pt>
                <c:pt idx="29">
                  <c:v>775000</c:v>
                </c:pt>
                <c:pt idx="30">
                  <c:v>800000</c:v>
                </c:pt>
                <c:pt idx="31">
                  <c:v>825000</c:v>
                </c:pt>
                <c:pt idx="32">
                  <c:v>850000</c:v>
                </c:pt>
                <c:pt idx="33">
                  <c:v>875000</c:v>
                </c:pt>
                <c:pt idx="34">
                  <c:v>900000</c:v>
                </c:pt>
                <c:pt idx="35">
                  <c:v>925000</c:v>
                </c:pt>
                <c:pt idx="36">
                  <c:v>950000</c:v>
                </c:pt>
                <c:pt idx="37">
                  <c:v>975000</c:v>
                </c:pt>
                <c:pt idx="38">
                  <c:v>1000000</c:v>
                </c:pt>
                <c:pt idx="39">
                  <c:v>1025000</c:v>
                </c:pt>
                <c:pt idx="40">
                  <c:v>1050000</c:v>
                </c:pt>
                <c:pt idx="41">
                  <c:v>1075000</c:v>
                </c:pt>
                <c:pt idx="42">
                  <c:v>1100000</c:v>
                </c:pt>
                <c:pt idx="43">
                  <c:v>1125000</c:v>
                </c:pt>
                <c:pt idx="44">
                  <c:v>1150000</c:v>
                </c:pt>
                <c:pt idx="45">
                  <c:v>1175000</c:v>
                </c:pt>
                <c:pt idx="46">
                  <c:v>1200000</c:v>
                </c:pt>
                <c:pt idx="47">
                  <c:v>1225000</c:v>
                </c:pt>
                <c:pt idx="48">
                  <c:v>1250000</c:v>
                </c:pt>
                <c:pt idx="49">
                  <c:v>1275000</c:v>
                </c:pt>
                <c:pt idx="50">
                  <c:v>1300000</c:v>
                </c:pt>
                <c:pt idx="51">
                  <c:v>1325000</c:v>
                </c:pt>
                <c:pt idx="52">
                  <c:v>1350000</c:v>
                </c:pt>
                <c:pt idx="53">
                  <c:v>1375000</c:v>
                </c:pt>
                <c:pt idx="54">
                  <c:v>1400000</c:v>
                </c:pt>
                <c:pt idx="55">
                  <c:v>1425000</c:v>
                </c:pt>
                <c:pt idx="56">
                  <c:v>1450000</c:v>
                </c:pt>
                <c:pt idx="57">
                  <c:v>1475000</c:v>
                </c:pt>
                <c:pt idx="58">
                  <c:v>1500000</c:v>
                </c:pt>
                <c:pt idx="59">
                  <c:v>1525000</c:v>
                </c:pt>
                <c:pt idx="60">
                  <c:v>1550000</c:v>
                </c:pt>
                <c:pt idx="61">
                  <c:v>1575000</c:v>
                </c:pt>
                <c:pt idx="62">
                  <c:v>1600000</c:v>
                </c:pt>
                <c:pt idx="63">
                  <c:v>1625000</c:v>
                </c:pt>
                <c:pt idx="64">
                  <c:v>1650000</c:v>
                </c:pt>
                <c:pt idx="65">
                  <c:v>1675000</c:v>
                </c:pt>
                <c:pt idx="66">
                  <c:v>1700000</c:v>
                </c:pt>
                <c:pt idx="67">
                  <c:v>1725000</c:v>
                </c:pt>
                <c:pt idx="68">
                  <c:v>1750000</c:v>
                </c:pt>
                <c:pt idx="69">
                  <c:v>1775000</c:v>
                </c:pt>
                <c:pt idx="70">
                  <c:v>1800000</c:v>
                </c:pt>
                <c:pt idx="71">
                  <c:v>1825000</c:v>
                </c:pt>
                <c:pt idx="72">
                  <c:v>1850000</c:v>
                </c:pt>
                <c:pt idx="73">
                  <c:v>1875000</c:v>
                </c:pt>
                <c:pt idx="74">
                  <c:v>1900000</c:v>
                </c:pt>
                <c:pt idx="75">
                  <c:v>1925000</c:v>
                </c:pt>
                <c:pt idx="76">
                  <c:v>1950000</c:v>
                </c:pt>
                <c:pt idx="77">
                  <c:v>1975000</c:v>
                </c:pt>
              </c:numCache>
            </c:numRef>
          </c:xVal>
          <c:yVal>
            <c:numRef>
              <c:f>'calcoli GRAFICO'!$W$4:$W$198</c:f>
              <c:numCache>
                <c:formatCode>0.000%</c:formatCode>
                <c:ptCount val="195"/>
                <c:pt idx="0">
                  <c:v>0.69246047132311217</c:v>
                </c:pt>
                <c:pt idx="1">
                  <c:v>0.61795006471636593</c:v>
                </c:pt>
                <c:pt idx="2">
                  <c:v>0.57195259431925971</c:v>
                </c:pt>
                <c:pt idx="3">
                  <c:v>0.53974633351913359</c:v>
                </c:pt>
                <c:pt idx="4">
                  <c:v>0.51548426548362436</c:v>
                </c:pt>
                <c:pt idx="5">
                  <c:v>0.49630719822847219</c:v>
                </c:pt>
                <c:pt idx="6">
                  <c:v>0.48062470153439141</c:v>
                </c:pt>
                <c:pt idx="7">
                  <c:v>0.46747020541271572</c:v>
                </c:pt>
                <c:pt idx="8">
                  <c:v>0.45621692001433861</c:v>
                </c:pt>
                <c:pt idx="9">
                  <c:v>0.4464376855132568</c:v>
                </c:pt>
                <c:pt idx="10">
                  <c:v>0.43777312447921268</c:v>
                </c:pt>
                <c:pt idx="11">
                  <c:v>0.42977838400960011</c:v>
                </c:pt>
                <c:pt idx="12">
                  <c:v>0.42256945764883846</c:v>
                </c:pt>
                <c:pt idx="13">
                  <c:v>0.41604222185309503</c:v>
                </c:pt>
                <c:pt idx="14">
                  <c:v>0.41009981333138412</c:v>
                </c:pt>
                <c:pt idx="15">
                  <c:v>0.40466093293051481</c:v>
                </c:pt>
                <c:pt idx="16">
                  <c:v>0.39965835476637979</c:v>
                </c:pt>
                <c:pt idx="17">
                  <c:v>0.39503641241020621</c:v>
                </c:pt>
                <c:pt idx="18">
                  <c:v>0.39074873956795486</c:v>
                </c:pt>
                <c:pt idx="19">
                  <c:v>0.38602382792728562</c:v>
                </c:pt>
                <c:pt idx="20">
                  <c:v>0.38160869560644439</c:v>
                </c:pt>
                <c:pt idx="21">
                  <c:v>0.37765948825889045</c:v>
                </c:pt>
                <c:pt idx="22">
                  <c:v>0.37370096212030202</c:v>
                </c:pt>
                <c:pt idx="23">
                  <c:v>0.36991533972404728</c:v>
                </c:pt>
                <c:pt idx="24">
                  <c:v>0.36631643568623251</c:v>
                </c:pt>
                <c:pt idx="25">
                  <c:v>0.36289768792790944</c:v>
                </c:pt>
                <c:pt idx="26">
                  <c:v>0.35964820986259666</c:v>
                </c:pt>
                <c:pt idx="27">
                  <c:v>0.35655635482834458</c:v>
                </c:pt>
                <c:pt idx="28">
                  <c:v>0.35361082449801001</c:v>
                </c:pt>
                <c:pt idx="29">
                  <c:v>0.3508010423330401</c:v>
                </c:pt>
                <c:pt idx="30">
                  <c:v>0.34811725935842891</c:v>
                </c:pt>
                <c:pt idx="31">
                  <c:v>0.345550552785376</c:v>
                </c:pt>
                <c:pt idx="32">
                  <c:v>0.3428499762751786</c:v>
                </c:pt>
                <c:pt idx="33">
                  <c:v>0.34014174489089949</c:v>
                </c:pt>
                <c:pt idx="34">
                  <c:v>0.33754206423078698</c:v>
                </c:pt>
                <c:pt idx="35">
                  <c:v>0.33504385663794689</c:v>
                </c:pt>
                <c:pt idx="36">
                  <c:v>0.33264065885791561</c:v>
                </c:pt>
                <c:pt idx="37">
                  <c:v>0.33032655911563497</c:v>
                </c:pt>
                <c:pt idx="38">
                  <c:v>0.32809614078061689</c:v>
                </c:pt>
                <c:pt idx="39">
                  <c:v>0.325944432188985</c:v>
                </c:pt>
                <c:pt idx="40">
                  <c:v>0.32386686206492515</c:v>
                </c:pt>
                <c:pt idx="41">
                  <c:v>0.32185921995658057</c:v>
                </c:pt>
                <c:pt idx="42">
                  <c:v>0.31991762112238775</c:v>
                </c:pt>
                <c:pt idx="43">
                  <c:v>0.31820497766255673</c:v>
                </c:pt>
                <c:pt idx="44">
                  <c:v>0.31651066711712023</c:v>
                </c:pt>
                <c:pt idx="45">
                  <c:v>0.31483162402522552</c:v>
                </c:pt>
                <c:pt idx="46">
                  <c:v>0.31318668696954538</c:v>
                </c:pt>
                <c:pt idx="47">
                  <c:v>0.31158036346645496</c:v>
                </c:pt>
                <c:pt idx="48">
                  <c:v>0.31001370229736391</c:v>
                </c:pt>
                <c:pt idx="49">
                  <c:v>0.30848646460507739</c:v>
                </c:pt>
                <c:pt idx="50">
                  <c:v>0.30699784282622983</c:v>
                </c:pt>
                <c:pt idx="51">
                  <c:v>0.30554676162824401</c:v>
                </c:pt>
                <c:pt idx="52">
                  <c:v>0.30413202242414189</c:v>
                </c:pt>
                <c:pt idx="53">
                  <c:v>0.30275237905753238</c:v>
                </c:pt>
                <c:pt idx="54">
                  <c:v>0.30140657965774975</c:v>
                </c:pt>
                <c:pt idx="55">
                  <c:v>0.30009339048981842</c:v>
                </c:pt>
                <c:pt idx="56">
                  <c:v>0.29881160964113213</c:v>
                </c:pt>
                <c:pt idx="57">
                  <c:v>0.29756007471508578</c:v>
                </c:pt>
                <c:pt idx="58">
                  <c:v>0.29633766687627366</c:v>
                </c:pt>
                <c:pt idx="59">
                  <c:v>0.29514331262544041</c:v>
                </c:pt>
                <c:pt idx="60">
                  <c:v>0.29397598414386783</c:v>
                </c:pt>
                <c:pt idx="61">
                  <c:v>0.29283469873373857</c:v>
                </c:pt>
                <c:pt idx="62">
                  <c:v>0.291718517692312</c:v>
                </c:pt>
                <c:pt idx="63">
                  <c:v>0.29062654484053946</c:v>
                </c:pt>
                <c:pt idx="64">
                  <c:v>0.28955792485207321</c:v>
                </c:pt>
                <c:pt idx="65">
                  <c:v>0.28851184148001291</c:v>
                </c:pt>
                <c:pt idx="66">
                  <c:v>0.28748751574651282</c:v>
                </c:pt>
                <c:pt idx="67">
                  <c:v>0.2864842041386928</c:v>
                </c:pt>
                <c:pt idx="68">
                  <c:v>0.28550119683954411</c:v>
                </c:pt>
                <c:pt idx="69">
                  <c:v>0.28453781601236772</c:v>
                </c:pt>
                <c:pt idx="70">
                  <c:v>0.28359341415027589</c:v>
                </c:pt>
                <c:pt idx="71">
                  <c:v>0.28266737249741308</c:v>
                </c:pt>
                <c:pt idx="72">
                  <c:v>0.28175909954517447</c:v>
                </c:pt>
                <c:pt idx="73">
                  <c:v>0.28086802960436114</c:v>
                </c:pt>
                <c:pt idx="74">
                  <c:v>0.27999362145260864</c:v>
                </c:pt>
                <c:pt idx="75">
                  <c:v>0.27913535705534576</c:v>
                </c:pt>
                <c:pt idx="76">
                  <c:v>0.27829274035782914</c:v>
                </c:pt>
                <c:pt idx="77">
                  <c:v>0.27746529614535292</c:v>
                </c:pt>
              </c:numCache>
            </c:numRef>
          </c:yVal>
        </c:ser>
        <c:axId val="133729664"/>
        <c:axId val="133735936"/>
      </c:scatterChart>
      <c:valAx>
        <c:axId val="133729664"/>
        <c:scaling>
          <c:orientation val="minMax"/>
          <c:max val="2000000"/>
        </c:scaling>
        <c:axPos val="b"/>
        <c:minorGridlines/>
        <c:title>
          <c:tx>
            <c:rich>
              <a:bodyPr/>
              <a:lstStyle/>
              <a:p>
                <a:pPr>
                  <a:defRPr/>
                </a:pPr>
                <a:r>
                  <a:rPr lang="it-IT"/>
                  <a:t>IMPORTI</a:t>
                </a:r>
              </a:p>
            </c:rich>
          </c:tx>
          <c:layout>
            <c:manualLayout>
              <c:xMode val="edge"/>
              <c:yMode val="edge"/>
              <c:x val="0.36159413969061288"/>
              <c:y val="0.92789938454796028"/>
            </c:manualLayout>
          </c:layout>
        </c:title>
        <c:numFmt formatCode="_-&quot;€&quot;\ * ###.000_-;\-&quot;€&quot;\ * ###.000_-;_-&quot;€&quot;\ * &quot;-&quot;??_-;_-@_-" sourceLinked="0"/>
        <c:majorTickMark val="none"/>
        <c:tickLblPos val="nextTo"/>
        <c:txPr>
          <a:bodyPr rot="5400000" vert="horz"/>
          <a:lstStyle/>
          <a:p>
            <a:pPr>
              <a:defRPr/>
            </a:pPr>
            <a:endParaRPr lang="it-IT"/>
          </a:p>
        </c:txPr>
        <c:crossAx val="133735936"/>
        <c:crosses val="autoZero"/>
        <c:crossBetween val="midCat"/>
        <c:majorUnit val="200000"/>
        <c:minorUnit val="100000"/>
      </c:valAx>
      <c:valAx>
        <c:axId val="133735936"/>
        <c:scaling>
          <c:orientation val="minMax"/>
        </c:scaling>
        <c:axPos val="l"/>
        <c:majorGridlines>
          <c:spPr>
            <a:ln>
              <a:solidFill>
                <a:schemeClr val="tx1"/>
              </a:solidFill>
            </a:ln>
          </c:spPr>
        </c:majorGridlines>
        <c:minorGridlines/>
        <c:title>
          <c:tx>
            <c:rich>
              <a:bodyPr/>
              <a:lstStyle/>
              <a:p>
                <a:pPr>
                  <a:defRPr/>
                </a:pPr>
                <a:r>
                  <a:rPr lang="it-IT"/>
                  <a:t>PERCENTUALI</a:t>
                </a:r>
              </a:p>
            </c:rich>
          </c:tx>
          <c:layout/>
        </c:title>
        <c:numFmt formatCode="0,00%" sourceLinked="1"/>
        <c:majorTickMark val="none"/>
        <c:tickLblPos val="nextTo"/>
        <c:crossAx val="133729664"/>
        <c:crosses val="autoZero"/>
        <c:crossBetween val="midCat"/>
        <c:majorUnit val="0.1"/>
        <c:minorUnit val="2.0000000000000011E-2"/>
      </c:valAx>
      <c:spPr>
        <a:ln w="6350">
          <a:solidFill>
            <a:srgbClr val="0070C0"/>
          </a:solidFill>
        </a:ln>
      </c:spPr>
    </c:plotArea>
    <c:legend>
      <c:legendPos val="r"/>
      <c:layout>
        <c:manualLayout>
          <c:xMode val="edge"/>
          <c:yMode val="edge"/>
          <c:x val="0.68866961166645546"/>
          <c:y val="0.12215437020215739"/>
          <c:w val="0.25308738855102625"/>
          <c:h val="0.87702877265733703"/>
        </c:manualLayout>
      </c:layout>
    </c:legend>
    <c:plotVisOnly val="1"/>
    <c:dispBlanksAs val="gap"/>
  </c:chart>
</c:chartSpace>
</file>

<file path=xl/charts/chart2.xml><?xml version="1.0" encoding="utf-8"?>
<c:chartSpace xmlns:c="http://schemas.openxmlformats.org/drawingml/2006/chart" xmlns:a="http://schemas.openxmlformats.org/drawingml/2006/main" xmlns:r="http://schemas.openxmlformats.org/officeDocument/2006/relationships">
  <c:lang val="it-IT"/>
  <c:protection/>
  <c:chart>
    <c:title>
      <c:tx>
        <c:rich>
          <a:bodyPr/>
          <a:lstStyle/>
          <a:p>
            <a:pPr>
              <a:defRPr/>
            </a:pPr>
            <a:r>
              <a:rPr lang="it-IT" sz="1600"/>
              <a:t>SIMULAZIONE CALCOLO PERCENTUALI</a:t>
            </a:r>
            <a:r>
              <a:rPr lang="it-IT" sz="1600" baseline="0"/>
              <a:t> SPESE  TECNICHE GENERALI AMBITO  B</a:t>
            </a:r>
          </a:p>
        </c:rich>
      </c:tx>
      <c:layout/>
    </c:title>
    <c:plotArea>
      <c:layout>
        <c:manualLayout>
          <c:layoutTarget val="inner"/>
          <c:xMode val="edge"/>
          <c:yMode val="edge"/>
          <c:x val="6.9136084113624346E-2"/>
          <c:y val="0.1347829804470943"/>
          <c:w val="0.63090946333690601"/>
          <c:h val="0.65305298444843263"/>
        </c:manualLayout>
      </c:layout>
      <c:scatterChart>
        <c:scatterStyle val="lineMarker"/>
        <c:ser>
          <c:idx val="4"/>
          <c:order val="0"/>
          <c:tx>
            <c:v>PERCENTUALI SPESE GENERALI PSR AMBITO B</c:v>
          </c:tx>
          <c:spPr>
            <a:ln w="41275">
              <a:solidFill>
                <a:srgbClr val="37F95C"/>
              </a:solidFill>
            </a:ln>
          </c:spPr>
          <c:marker>
            <c:symbol val="none"/>
          </c:marker>
          <c:xVal>
            <c:numRef>
              <c:f>'Calcoli (spese amb.B)'!$F$3:$F$60</c:f>
              <c:numCache>
                <c:formatCode>_-* #,##000\ "€"_-;\-* #,##000\ "€"_-;_-* "-"??\ "€"_-;_-@_-</c:formatCode>
                <c:ptCount val="58"/>
                <c:pt idx="0">
                  <c:v>50000</c:v>
                </c:pt>
                <c:pt idx="1">
                  <c:v>75000</c:v>
                </c:pt>
                <c:pt idx="2">
                  <c:v>100000</c:v>
                </c:pt>
                <c:pt idx="3">
                  <c:v>125000</c:v>
                </c:pt>
                <c:pt idx="4">
                  <c:v>150000</c:v>
                </c:pt>
                <c:pt idx="5">
                  <c:v>175000</c:v>
                </c:pt>
                <c:pt idx="6">
                  <c:v>200000</c:v>
                </c:pt>
                <c:pt idx="7">
                  <c:v>225000</c:v>
                </c:pt>
                <c:pt idx="8">
                  <c:v>250000</c:v>
                </c:pt>
                <c:pt idx="9">
                  <c:v>275000</c:v>
                </c:pt>
                <c:pt idx="10">
                  <c:v>300000</c:v>
                </c:pt>
                <c:pt idx="11">
                  <c:v>325000</c:v>
                </c:pt>
                <c:pt idx="12">
                  <c:v>350000</c:v>
                </c:pt>
                <c:pt idx="13">
                  <c:v>375000</c:v>
                </c:pt>
                <c:pt idx="14">
                  <c:v>400000</c:v>
                </c:pt>
                <c:pt idx="15">
                  <c:v>425000</c:v>
                </c:pt>
                <c:pt idx="16">
                  <c:v>450000</c:v>
                </c:pt>
                <c:pt idx="17">
                  <c:v>475000</c:v>
                </c:pt>
                <c:pt idx="18">
                  <c:v>500000</c:v>
                </c:pt>
                <c:pt idx="19">
                  <c:v>525000</c:v>
                </c:pt>
                <c:pt idx="20">
                  <c:v>550000</c:v>
                </c:pt>
                <c:pt idx="21">
                  <c:v>575000</c:v>
                </c:pt>
                <c:pt idx="22">
                  <c:v>600000</c:v>
                </c:pt>
                <c:pt idx="23">
                  <c:v>625000</c:v>
                </c:pt>
                <c:pt idx="24">
                  <c:v>650000</c:v>
                </c:pt>
                <c:pt idx="25">
                  <c:v>675000</c:v>
                </c:pt>
                <c:pt idx="26">
                  <c:v>700000</c:v>
                </c:pt>
                <c:pt idx="27">
                  <c:v>725000</c:v>
                </c:pt>
                <c:pt idx="28">
                  <c:v>750000</c:v>
                </c:pt>
                <c:pt idx="29">
                  <c:v>775000</c:v>
                </c:pt>
                <c:pt idx="30">
                  <c:v>800000</c:v>
                </c:pt>
                <c:pt idx="31">
                  <c:v>825000</c:v>
                </c:pt>
                <c:pt idx="32">
                  <c:v>850000</c:v>
                </c:pt>
                <c:pt idx="33">
                  <c:v>875000</c:v>
                </c:pt>
                <c:pt idx="34">
                  <c:v>900000</c:v>
                </c:pt>
                <c:pt idx="35">
                  <c:v>925000</c:v>
                </c:pt>
                <c:pt idx="36">
                  <c:v>950000</c:v>
                </c:pt>
                <c:pt idx="37">
                  <c:v>975000</c:v>
                </c:pt>
                <c:pt idx="38">
                  <c:v>1000000</c:v>
                </c:pt>
                <c:pt idx="39">
                  <c:v>1025000</c:v>
                </c:pt>
                <c:pt idx="40">
                  <c:v>1050000</c:v>
                </c:pt>
                <c:pt idx="41">
                  <c:v>1075000</c:v>
                </c:pt>
                <c:pt idx="42">
                  <c:v>1100000</c:v>
                </c:pt>
                <c:pt idx="43">
                  <c:v>1125000</c:v>
                </c:pt>
                <c:pt idx="44">
                  <c:v>1150000</c:v>
                </c:pt>
                <c:pt idx="45">
                  <c:v>1175000</c:v>
                </c:pt>
                <c:pt idx="46">
                  <c:v>1200000</c:v>
                </c:pt>
                <c:pt idx="47">
                  <c:v>1225000</c:v>
                </c:pt>
                <c:pt idx="48">
                  <c:v>1250000</c:v>
                </c:pt>
                <c:pt idx="49">
                  <c:v>1275000</c:v>
                </c:pt>
                <c:pt idx="50">
                  <c:v>1300000</c:v>
                </c:pt>
                <c:pt idx="51">
                  <c:v>1325000</c:v>
                </c:pt>
                <c:pt idx="52">
                  <c:v>1350000</c:v>
                </c:pt>
                <c:pt idx="53">
                  <c:v>1375000</c:v>
                </c:pt>
                <c:pt idx="54">
                  <c:v>1400000</c:v>
                </c:pt>
                <c:pt idx="55">
                  <c:v>1425000</c:v>
                </c:pt>
                <c:pt idx="56">
                  <c:v>1450000</c:v>
                </c:pt>
                <c:pt idx="57">
                  <c:v>1475000</c:v>
                </c:pt>
              </c:numCache>
            </c:numRef>
          </c:xVal>
          <c:yVal>
            <c:numRef>
              <c:f>'Calcoli (spese amb.B)'!$T$3:$T$54</c:f>
              <c:numCache>
                <c:formatCode>0%</c:formatCode>
                <c:ptCount val="52"/>
                <c:pt idx="0" formatCode="#.#0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pt idx="37">
                  <c:v>0.05</c:v>
                </c:pt>
                <c:pt idx="38">
                  <c:v>0.05</c:v>
                </c:pt>
                <c:pt idx="39">
                  <c:v>0.05</c:v>
                </c:pt>
                <c:pt idx="40">
                  <c:v>0.05</c:v>
                </c:pt>
                <c:pt idx="41">
                  <c:v>0.05</c:v>
                </c:pt>
                <c:pt idx="42">
                  <c:v>0.05</c:v>
                </c:pt>
                <c:pt idx="43">
                  <c:v>0.05</c:v>
                </c:pt>
                <c:pt idx="44">
                  <c:v>0.05</c:v>
                </c:pt>
                <c:pt idx="45">
                  <c:v>0.05</c:v>
                </c:pt>
                <c:pt idx="46">
                  <c:v>0.05</c:v>
                </c:pt>
                <c:pt idx="47">
                  <c:v>0.05</c:v>
                </c:pt>
                <c:pt idx="48">
                  <c:v>0.05</c:v>
                </c:pt>
                <c:pt idx="49">
                  <c:v>0.05</c:v>
                </c:pt>
                <c:pt idx="50">
                  <c:v>0.05</c:v>
                </c:pt>
                <c:pt idx="51">
                  <c:v>0.05</c:v>
                </c:pt>
              </c:numCache>
            </c:numRef>
          </c:yVal>
        </c:ser>
        <c:ser>
          <c:idx val="3"/>
          <c:order val="1"/>
          <c:tx>
            <c:v>SIMULAZIONE PERCENTUALI FORNITURE</c:v>
          </c:tx>
          <c:marker>
            <c:symbol val="none"/>
          </c:marker>
          <c:xVal>
            <c:numRef>
              <c:f>'Calcoli (spese amb.B)'!$F$3:$F$60</c:f>
              <c:numCache>
                <c:formatCode>_-* #,##000\ "€"_-;\-* #,##000\ "€"_-;_-* "-"??\ "€"_-;_-@_-</c:formatCode>
                <c:ptCount val="58"/>
                <c:pt idx="0">
                  <c:v>50000</c:v>
                </c:pt>
                <c:pt idx="1">
                  <c:v>75000</c:v>
                </c:pt>
                <c:pt idx="2">
                  <c:v>100000</c:v>
                </c:pt>
                <c:pt idx="3">
                  <c:v>125000</c:v>
                </c:pt>
                <c:pt idx="4">
                  <c:v>150000</c:v>
                </c:pt>
                <c:pt idx="5">
                  <c:v>175000</c:v>
                </c:pt>
                <c:pt idx="6">
                  <c:v>200000</c:v>
                </c:pt>
                <c:pt idx="7">
                  <c:v>225000</c:v>
                </c:pt>
                <c:pt idx="8">
                  <c:v>250000</c:v>
                </c:pt>
                <c:pt idx="9">
                  <c:v>275000</c:v>
                </c:pt>
                <c:pt idx="10">
                  <c:v>300000</c:v>
                </c:pt>
                <c:pt idx="11">
                  <c:v>325000</c:v>
                </c:pt>
                <c:pt idx="12">
                  <c:v>350000</c:v>
                </c:pt>
                <c:pt idx="13">
                  <c:v>375000</c:v>
                </c:pt>
                <c:pt idx="14">
                  <c:v>400000</c:v>
                </c:pt>
                <c:pt idx="15">
                  <c:v>425000</c:v>
                </c:pt>
                <c:pt idx="16">
                  <c:v>450000</c:v>
                </c:pt>
                <c:pt idx="17">
                  <c:v>475000</c:v>
                </c:pt>
                <c:pt idx="18">
                  <c:v>500000</c:v>
                </c:pt>
                <c:pt idx="19">
                  <c:v>525000</c:v>
                </c:pt>
                <c:pt idx="20">
                  <c:v>550000</c:v>
                </c:pt>
                <c:pt idx="21">
                  <c:v>575000</c:v>
                </c:pt>
                <c:pt idx="22">
                  <c:v>600000</c:v>
                </c:pt>
                <c:pt idx="23">
                  <c:v>625000</c:v>
                </c:pt>
                <c:pt idx="24">
                  <c:v>650000</c:v>
                </c:pt>
                <c:pt idx="25">
                  <c:v>675000</c:v>
                </c:pt>
                <c:pt idx="26">
                  <c:v>700000</c:v>
                </c:pt>
                <c:pt idx="27">
                  <c:v>725000</c:v>
                </c:pt>
                <c:pt idx="28">
                  <c:v>750000</c:v>
                </c:pt>
                <c:pt idx="29">
                  <c:v>775000</c:v>
                </c:pt>
                <c:pt idx="30">
                  <c:v>800000</c:v>
                </c:pt>
                <c:pt idx="31">
                  <c:v>825000</c:v>
                </c:pt>
                <c:pt idx="32">
                  <c:v>850000</c:v>
                </c:pt>
                <c:pt idx="33">
                  <c:v>875000</c:v>
                </c:pt>
                <c:pt idx="34">
                  <c:v>900000</c:v>
                </c:pt>
                <c:pt idx="35">
                  <c:v>925000</c:v>
                </c:pt>
                <c:pt idx="36">
                  <c:v>950000</c:v>
                </c:pt>
                <c:pt idx="37">
                  <c:v>975000</c:v>
                </c:pt>
                <c:pt idx="38">
                  <c:v>1000000</c:v>
                </c:pt>
                <c:pt idx="39">
                  <c:v>1025000</c:v>
                </c:pt>
                <c:pt idx="40">
                  <c:v>1050000</c:v>
                </c:pt>
                <c:pt idx="41">
                  <c:v>1075000</c:v>
                </c:pt>
                <c:pt idx="42">
                  <c:v>1100000</c:v>
                </c:pt>
                <c:pt idx="43">
                  <c:v>1125000</c:v>
                </c:pt>
                <c:pt idx="44">
                  <c:v>1150000</c:v>
                </c:pt>
                <c:pt idx="45">
                  <c:v>1175000</c:v>
                </c:pt>
                <c:pt idx="46">
                  <c:v>1200000</c:v>
                </c:pt>
                <c:pt idx="47">
                  <c:v>1225000</c:v>
                </c:pt>
                <c:pt idx="48">
                  <c:v>1250000</c:v>
                </c:pt>
                <c:pt idx="49">
                  <c:v>1275000</c:v>
                </c:pt>
                <c:pt idx="50">
                  <c:v>1300000</c:v>
                </c:pt>
                <c:pt idx="51">
                  <c:v>1325000</c:v>
                </c:pt>
                <c:pt idx="52">
                  <c:v>1350000</c:v>
                </c:pt>
                <c:pt idx="53">
                  <c:v>1375000</c:v>
                </c:pt>
                <c:pt idx="54">
                  <c:v>1400000</c:v>
                </c:pt>
                <c:pt idx="55">
                  <c:v>1425000</c:v>
                </c:pt>
                <c:pt idx="56">
                  <c:v>1450000</c:v>
                </c:pt>
                <c:pt idx="57">
                  <c:v>1475000</c:v>
                </c:pt>
              </c:numCache>
            </c:numRef>
          </c:xVal>
          <c:yVal>
            <c:numRef>
              <c:f>'Calcoli (spese amb.B)'!$I$3:$I$60</c:f>
              <c:numCache>
                <c:formatCode>0,00%</c:formatCode>
                <c:ptCount val="58"/>
                <c:pt idx="0">
                  <c:v>4.9746884424179405E-2</c:v>
                </c:pt>
                <c:pt idx="1">
                  <c:v>4.9123033718477427E-2</c:v>
                </c:pt>
                <c:pt idx="2">
                  <c:v>4.867322728813557E-2</c:v>
                </c:pt>
                <c:pt idx="3">
                  <c:v>4.8775965254451881E-2</c:v>
                </c:pt>
                <c:pt idx="4">
                  <c:v>4.8276105392496466E-2</c:v>
                </c:pt>
                <c:pt idx="5">
                  <c:v>4.7564539309056186E-2</c:v>
                </c:pt>
                <c:pt idx="6">
                  <c:v>4.67921069355113E-2</c:v>
                </c:pt>
                <c:pt idx="7">
                  <c:v>4.6021393902011216E-2</c:v>
                </c:pt>
                <c:pt idx="8">
                  <c:v>4.527871887040831E-2</c:v>
                </c:pt>
                <c:pt idx="9">
                  <c:v>4.548441577962585E-2</c:v>
                </c:pt>
                <c:pt idx="10">
                  <c:v>4.5540357969192528E-2</c:v>
                </c:pt>
                <c:pt idx="11">
                  <c:v>4.5496160659491337E-2</c:v>
                </c:pt>
                <c:pt idx="12">
                  <c:v>4.5384275678202912E-2</c:v>
                </c:pt>
                <c:pt idx="13">
                  <c:v>4.5226473936046639E-2</c:v>
                </c:pt>
                <c:pt idx="14">
                  <c:v>4.5037666299307874E-2</c:v>
                </c:pt>
                <c:pt idx="15">
                  <c:v>4.482823836003174E-2</c:v>
                </c:pt>
                <c:pt idx="16">
                  <c:v>4.4605521796540211E-2</c:v>
                </c:pt>
                <c:pt idx="17">
                  <c:v>4.4374746650473897E-2</c:v>
                </c:pt>
                <c:pt idx="18">
                  <c:v>4.4139672114759533E-2</c:v>
                </c:pt>
                <c:pt idx="19">
                  <c:v>4.4025592334664833E-2</c:v>
                </c:pt>
                <c:pt idx="20">
                  <c:v>4.3898021660797149E-2</c:v>
                </c:pt>
                <c:pt idx="21">
                  <c:v>4.3760428649578652E-2</c:v>
                </c:pt>
                <c:pt idx="22">
                  <c:v>4.3615508690206466E-2</c:v>
                </c:pt>
                <c:pt idx="23">
                  <c:v>4.3465368280809463E-2</c:v>
                </c:pt>
                <c:pt idx="24">
                  <c:v>4.3311661263021169E-2</c:v>
                </c:pt>
                <c:pt idx="25">
                  <c:v>4.3155690668576219E-2</c:v>
                </c:pt>
                <c:pt idx="26">
                  <c:v>4.29984856358556E-2</c:v>
                </c:pt>
                <c:pt idx="27">
                  <c:v>4.2840860040975606E-2</c:v>
                </c:pt>
                <c:pt idx="28">
                  <c:v>4.2683457572430403E-2</c:v>
                </c:pt>
                <c:pt idx="29">
                  <c:v>4.2526786655424781E-2</c:v>
                </c:pt>
                <c:pt idx="30">
                  <c:v>4.237124770647388E-2</c:v>
                </c:pt>
                <c:pt idx="31">
                  <c:v>4.2217154543396883E-2</c:v>
                </c:pt>
                <c:pt idx="32">
                  <c:v>4.2064751306416466E-2</c:v>
                </c:pt>
                <c:pt idx="33">
                  <c:v>4.1914225906362623E-2</c:v>
                </c:pt>
                <c:pt idx="34">
                  <c:v>4.1765720767715758E-2</c:v>
                </c:pt>
                <c:pt idx="35">
                  <c:v>4.1619341451131046E-2</c:v>
                </c:pt>
                <c:pt idx="36">
                  <c:v>4.1475163603892369E-2</c:v>
                </c:pt>
                <c:pt idx="37">
                  <c:v>4.1333238584623892E-2</c:v>
                </c:pt>
                <c:pt idx="38">
                  <c:v>4.1193598031430974E-2</c:v>
                </c:pt>
                <c:pt idx="39">
                  <c:v>4.1056257583935177E-2</c:v>
                </c:pt>
                <c:pt idx="40">
                  <c:v>4.0921219924695336E-2</c:v>
                </c:pt>
                <c:pt idx="41">
                  <c:v>4.0788477270838924E-2</c:v>
                </c:pt>
                <c:pt idx="42">
                  <c:v>4.065801341984044E-2</c:v>
                </c:pt>
                <c:pt idx="43">
                  <c:v>4.0529805432415557E-2</c:v>
                </c:pt>
                <c:pt idx="44">
                  <c:v>4.0403825019055956E-2</c:v>
                </c:pt>
                <c:pt idx="45">
                  <c:v>4.028003968377207E-2</c:v>
                </c:pt>
                <c:pt idx="46">
                  <c:v>4.0158413668347985E-2</c:v>
                </c:pt>
                <c:pt idx="47">
                  <c:v>4.0038908732248031E-2</c:v>
                </c:pt>
                <c:pt idx="48">
                  <c:v>3.992148479679121E-2</c:v>
                </c:pt>
                <c:pt idx="49">
                  <c:v>3.98061004769747E-2</c:v>
                </c:pt>
                <c:pt idx="50">
                  <c:v>3.9692713520111E-2</c:v>
                </c:pt>
                <c:pt idx="51">
                  <c:v>3.9581281167034438E-2</c:v>
                </c:pt>
                <c:pt idx="52">
                  <c:v>3.9471760448865661E-2</c:v>
                </c:pt>
                <c:pt idx="53">
                  <c:v>3.9364108430070557E-2</c:v>
                </c:pt>
                <c:pt idx="54">
                  <c:v>3.9258282406710004E-2</c:v>
                </c:pt>
                <c:pt idx="55">
                  <c:v>3.9154240067269308E-2</c:v>
                </c:pt>
                <c:pt idx="56">
                  <c:v>3.9051939622216994E-2</c:v>
                </c:pt>
                <c:pt idx="57">
                  <c:v>3.8951339907422625E-2</c:v>
                </c:pt>
              </c:numCache>
            </c:numRef>
          </c:yVal>
        </c:ser>
        <c:ser>
          <c:idx val="0"/>
          <c:order val="2"/>
          <c:tx>
            <c:v>CALCOLO SECONDO D.M.</c:v>
          </c:tx>
          <c:spPr>
            <a:ln>
              <a:solidFill>
                <a:srgbClr val="0070C0"/>
              </a:solidFill>
            </a:ln>
          </c:spPr>
          <c:marker>
            <c:symbol val="none"/>
          </c:marker>
          <c:xVal>
            <c:numRef>
              <c:f>'Calcoli (spese amb.B)'!$L$3:$L$60</c:f>
              <c:numCache>
                <c:formatCode>_-* #,##000\ "€"_-;\-* #,##000\ "€"_-;_-* "-"??\ "€"_-;_-@_-</c:formatCode>
                <c:ptCount val="58"/>
                <c:pt idx="1">
                  <c:v>75000</c:v>
                </c:pt>
                <c:pt idx="2">
                  <c:v>100000</c:v>
                </c:pt>
                <c:pt idx="3">
                  <c:v>125000</c:v>
                </c:pt>
                <c:pt idx="4">
                  <c:v>150000</c:v>
                </c:pt>
                <c:pt idx="5">
                  <c:v>175000</c:v>
                </c:pt>
                <c:pt idx="6">
                  <c:v>200000</c:v>
                </c:pt>
                <c:pt idx="7">
                  <c:v>225000</c:v>
                </c:pt>
                <c:pt idx="8">
                  <c:v>250000</c:v>
                </c:pt>
                <c:pt idx="9">
                  <c:v>275000</c:v>
                </c:pt>
                <c:pt idx="10">
                  <c:v>300000</c:v>
                </c:pt>
                <c:pt idx="11">
                  <c:v>325000</c:v>
                </c:pt>
                <c:pt idx="12">
                  <c:v>350000</c:v>
                </c:pt>
                <c:pt idx="13">
                  <c:v>375000</c:v>
                </c:pt>
                <c:pt idx="14">
                  <c:v>400000</c:v>
                </c:pt>
                <c:pt idx="15">
                  <c:v>425000</c:v>
                </c:pt>
                <c:pt idx="16">
                  <c:v>450000</c:v>
                </c:pt>
                <c:pt idx="17">
                  <c:v>475000</c:v>
                </c:pt>
                <c:pt idx="18">
                  <c:v>500000</c:v>
                </c:pt>
                <c:pt idx="19">
                  <c:v>525000</c:v>
                </c:pt>
                <c:pt idx="20">
                  <c:v>550000</c:v>
                </c:pt>
                <c:pt idx="21">
                  <c:v>575000</c:v>
                </c:pt>
                <c:pt idx="22">
                  <c:v>600000</c:v>
                </c:pt>
                <c:pt idx="23">
                  <c:v>625000</c:v>
                </c:pt>
                <c:pt idx="24">
                  <c:v>650000</c:v>
                </c:pt>
                <c:pt idx="25">
                  <c:v>675000</c:v>
                </c:pt>
                <c:pt idx="26">
                  <c:v>700000</c:v>
                </c:pt>
                <c:pt idx="27">
                  <c:v>725000</c:v>
                </c:pt>
                <c:pt idx="28">
                  <c:v>750000</c:v>
                </c:pt>
                <c:pt idx="29">
                  <c:v>775000</c:v>
                </c:pt>
                <c:pt idx="30">
                  <c:v>800000</c:v>
                </c:pt>
                <c:pt idx="31">
                  <c:v>825000</c:v>
                </c:pt>
                <c:pt idx="32">
                  <c:v>850000</c:v>
                </c:pt>
                <c:pt idx="33">
                  <c:v>875000</c:v>
                </c:pt>
                <c:pt idx="34">
                  <c:v>900000</c:v>
                </c:pt>
                <c:pt idx="35">
                  <c:v>925000</c:v>
                </c:pt>
                <c:pt idx="36">
                  <c:v>950000</c:v>
                </c:pt>
                <c:pt idx="37">
                  <c:v>975000</c:v>
                </c:pt>
                <c:pt idx="38">
                  <c:v>1000000</c:v>
                </c:pt>
                <c:pt idx="39">
                  <c:v>1025000</c:v>
                </c:pt>
                <c:pt idx="40">
                  <c:v>1050000</c:v>
                </c:pt>
                <c:pt idx="41">
                  <c:v>1075000</c:v>
                </c:pt>
                <c:pt idx="42">
                  <c:v>1100000</c:v>
                </c:pt>
                <c:pt idx="43">
                  <c:v>1125000</c:v>
                </c:pt>
                <c:pt idx="44">
                  <c:v>1150000</c:v>
                </c:pt>
                <c:pt idx="45">
                  <c:v>1175000</c:v>
                </c:pt>
                <c:pt idx="46">
                  <c:v>1200000</c:v>
                </c:pt>
                <c:pt idx="47">
                  <c:v>1225000</c:v>
                </c:pt>
                <c:pt idx="48">
                  <c:v>1250000</c:v>
                </c:pt>
                <c:pt idx="49">
                  <c:v>1275000</c:v>
                </c:pt>
                <c:pt idx="50">
                  <c:v>1300000</c:v>
                </c:pt>
                <c:pt idx="51">
                  <c:v>1325000</c:v>
                </c:pt>
                <c:pt idx="52">
                  <c:v>1350000</c:v>
                </c:pt>
                <c:pt idx="53">
                  <c:v>1375000</c:v>
                </c:pt>
                <c:pt idx="54">
                  <c:v>1400000</c:v>
                </c:pt>
                <c:pt idx="55">
                  <c:v>1425000</c:v>
                </c:pt>
                <c:pt idx="56">
                  <c:v>1450000</c:v>
                </c:pt>
                <c:pt idx="57">
                  <c:v>1475000</c:v>
                </c:pt>
              </c:numCache>
            </c:numRef>
          </c:xVal>
          <c:yVal>
            <c:numRef>
              <c:f>'Calcoli (spese amb.B)'!$O$3:$O$60</c:f>
              <c:numCache>
                <c:formatCode>0,00%</c:formatCode>
                <c:ptCount val="58"/>
                <c:pt idx="1">
                  <c:v>9.646955230166486E-2</c:v>
                </c:pt>
                <c:pt idx="2">
                  <c:v>8.8195762288135568E-2</c:v>
                </c:pt>
                <c:pt idx="3">
                  <c:v>8.2402664609486656E-2</c:v>
                </c:pt>
                <c:pt idx="4">
                  <c:v>7.803852774529095E-2</c:v>
                </c:pt>
                <c:pt idx="5">
                  <c:v>7.4589054846571648E-2</c:v>
                </c:pt>
                <c:pt idx="6">
                  <c:v>7.176816744962361E-2</c:v>
                </c:pt>
                <c:pt idx="7">
                  <c:v>6.9402003882259769E-2</c:v>
                </c:pt>
                <c:pt idx="8">
                  <c:v>6.7377820388153084E-2</c:v>
                </c:pt>
                <c:pt idx="9">
                  <c:v>6.5618781639793872E-2</c:v>
                </c:pt>
                <c:pt idx="10">
                  <c:v>6.407042311636299E-2</c:v>
                </c:pt>
                <c:pt idx="11">
                  <c:v>6.2692884585930184E-2</c:v>
                </c:pt>
                <c:pt idx="12">
                  <c:v>6.1456211507204248E-2</c:v>
                </c:pt>
                <c:pt idx="13">
                  <c:v>6.0337385644062963E-2</c:v>
                </c:pt>
                <c:pt idx="14">
                  <c:v>5.9318378627296976E-2</c:v>
                </c:pt>
                <c:pt idx="15">
                  <c:v>5.8384835778251792E-2</c:v>
                </c:pt>
                <c:pt idx="16">
                  <c:v>5.752516196823361E-2</c:v>
                </c:pt>
                <c:pt idx="17">
                  <c:v>5.67298717399796E-2</c:v>
                </c:pt>
                <c:pt idx="18">
                  <c:v>5.5991117740396411E-2</c:v>
                </c:pt>
                <c:pt idx="19">
                  <c:v>5.5424921658087836E-2</c:v>
                </c:pt>
                <c:pt idx="20">
                  <c:v>5.4889304328774965E-2</c:v>
                </c:pt>
                <c:pt idx="21">
                  <c:v>5.4381615140731442E-2</c:v>
                </c:pt>
                <c:pt idx="22">
                  <c:v>5.3899505203483765E-2</c:v>
                </c:pt>
                <c:pt idx="23">
                  <c:v>5.3440886857124968E-2</c:v>
                </c:pt>
                <c:pt idx="24">
                  <c:v>5.3003899035840518E-2</c:v>
                </c:pt>
                <c:pt idx="25">
                  <c:v>5.2586877690639952E-2</c:v>
                </c:pt>
                <c:pt idx="26">
                  <c:v>5.2188330532813465E-2</c:v>
                </c:pt>
                <c:pt idx="27">
                  <c:v>5.1806915443477299E-2</c:v>
                </c:pt>
                <c:pt idx="28">
                  <c:v>5.1441421983713383E-2</c:v>
                </c:pt>
                <c:pt idx="29">
                  <c:v>5.1090755524057091E-2</c:v>
                </c:pt>
                <c:pt idx="30">
                  <c:v>5.0753923587311491E-2</c:v>
                </c:pt>
                <c:pt idx="31">
                  <c:v>5.0430024063770014E-2</c:v>
                </c:pt>
                <c:pt idx="32">
                  <c:v>5.0118235013248934E-2</c:v>
                </c:pt>
                <c:pt idx="33">
                  <c:v>4.9817805814833929E-2</c:v>
                </c:pt>
                <c:pt idx="34">
                  <c:v>4.9528049464080015E-2</c:v>
                </c:pt>
                <c:pt idx="35">
                  <c:v>4.9248335849728916E-2</c:v>
                </c:pt>
                <c:pt idx="36">
                  <c:v>4.8978085868865963E-2</c:v>
                </c:pt>
                <c:pt idx="37">
                  <c:v>4.8716766261752684E-2</c:v>
                </c:pt>
                <c:pt idx="38">
                  <c:v>4.8463885066118713E-2</c:v>
                </c:pt>
                <c:pt idx="39">
                  <c:v>4.8218987606135862E-2</c:v>
                </c:pt>
                <c:pt idx="40">
                  <c:v>4.7981652944169194E-2</c:v>
                </c:pt>
                <c:pt idx="41">
                  <c:v>4.7751490734155549E-2</c:v>
                </c:pt>
                <c:pt idx="42">
                  <c:v>4.7528138424465433E-2</c:v>
                </c:pt>
                <c:pt idx="43">
                  <c:v>4.7311258765665193E-2</c:v>
                </c:pt>
                <c:pt idx="44">
                  <c:v>4.710053758495724E-2</c:v>
                </c:pt>
                <c:pt idx="45">
                  <c:v>4.6895681794444907E-2</c:v>
                </c:pt>
                <c:pt idx="46">
                  <c:v>4.6696417604907982E-2</c:v>
                </c:pt>
                <c:pt idx="47">
                  <c:v>4.6502488920625917E-2</c:v>
                </c:pt>
                <c:pt idx="48">
                  <c:v>4.6313655894059995E-2</c:v>
                </c:pt>
                <c:pt idx="49">
                  <c:v>4.6129693621996773E-2</c:v>
                </c:pt>
                <c:pt idx="50">
                  <c:v>4.5950390967139772E-2</c:v>
                </c:pt>
                <c:pt idx="51">
                  <c:v>4.5775549491181448E-2</c:v>
                </c:pt>
                <c:pt idx="52">
                  <c:v>4.5604982487141094E-2</c:v>
                </c:pt>
                <c:pt idx="53">
                  <c:v>4.5438514100266461E-2</c:v>
                </c:pt>
                <c:pt idx="54">
                  <c:v>4.5275978528100252E-2</c:v>
                </c:pt>
                <c:pt idx="55">
                  <c:v>4.5117219291440983E-2</c:v>
                </c:pt>
                <c:pt idx="56">
                  <c:v>4.4962088568904532E-2</c:v>
                </c:pt>
                <c:pt idx="57">
                  <c:v>4.4810446588643492E-2</c:v>
                </c:pt>
              </c:numCache>
            </c:numRef>
          </c:yVal>
        </c:ser>
        <c:axId val="139267456"/>
        <c:axId val="139281920"/>
      </c:scatterChart>
      <c:valAx>
        <c:axId val="139267456"/>
        <c:scaling>
          <c:orientation val="minMax"/>
        </c:scaling>
        <c:axPos val="b"/>
        <c:minorGridlines/>
        <c:title>
          <c:tx>
            <c:rich>
              <a:bodyPr/>
              <a:lstStyle/>
              <a:p>
                <a:pPr>
                  <a:defRPr/>
                </a:pPr>
                <a:r>
                  <a:rPr lang="it-IT"/>
                  <a:t>IMPORTI</a:t>
                </a:r>
              </a:p>
            </c:rich>
          </c:tx>
          <c:layout>
            <c:manualLayout>
              <c:xMode val="edge"/>
              <c:yMode val="edge"/>
              <c:x val="0.36159414654525462"/>
              <c:y val="0.93755457961972299"/>
            </c:manualLayout>
          </c:layout>
        </c:title>
        <c:numFmt formatCode="_-&quot;€&quot;\ * ###.000_-;\-&quot;€&quot;\ * ###.000_-;_-&quot;€&quot;\ * &quot;-&quot;??_-;_-@_-" sourceLinked="0"/>
        <c:majorTickMark val="none"/>
        <c:tickLblPos val="nextTo"/>
        <c:txPr>
          <a:bodyPr rot="5400000" vert="horz"/>
          <a:lstStyle/>
          <a:p>
            <a:pPr>
              <a:defRPr/>
            </a:pPr>
            <a:endParaRPr lang="it-IT"/>
          </a:p>
        </c:txPr>
        <c:crossAx val="139281920"/>
        <c:crosses val="autoZero"/>
        <c:crossBetween val="midCat"/>
        <c:majorUnit val="100000"/>
        <c:minorUnit val="50000"/>
      </c:valAx>
      <c:valAx>
        <c:axId val="139281920"/>
        <c:scaling>
          <c:orientation val="minMax"/>
        </c:scaling>
        <c:axPos val="l"/>
        <c:minorGridlines/>
        <c:title>
          <c:tx>
            <c:rich>
              <a:bodyPr/>
              <a:lstStyle/>
              <a:p>
                <a:pPr>
                  <a:defRPr/>
                </a:pPr>
                <a:r>
                  <a:rPr lang="it-IT"/>
                  <a:t>PERCENTUALI</a:t>
                </a:r>
              </a:p>
            </c:rich>
          </c:tx>
          <c:layout/>
        </c:title>
        <c:numFmt formatCode="0,00%" sourceLinked="0"/>
        <c:majorTickMark val="none"/>
        <c:tickLblPos val="nextTo"/>
        <c:crossAx val="139267456"/>
        <c:crosses val="autoZero"/>
        <c:crossBetween val="midCat"/>
        <c:majorUnit val="1.0000000000000005E-2"/>
        <c:minorUnit val="5.0000000000000114E-3"/>
      </c:valAx>
      <c:spPr>
        <a:ln w="6350">
          <a:solidFill>
            <a:srgbClr val="0070C0"/>
          </a:solidFill>
        </a:ln>
      </c:spPr>
    </c:plotArea>
    <c:legend>
      <c:legendPos val="r"/>
      <c:layout>
        <c:manualLayout>
          <c:xMode val="edge"/>
          <c:yMode val="edge"/>
          <c:x val="0.72523380549959915"/>
          <c:y val="0.22824624194703197"/>
          <c:w val="0.23806001912242813"/>
          <c:h val="0.29993798629383339"/>
        </c:manualLayout>
      </c:layout>
    </c:legend>
    <c:plotVisOnly val="1"/>
    <c:dispBlanksAs val="gap"/>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codeName="Grafico7"/>
  <sheetViews>
    <sheetView zoomScale="110" workbookViewId="0"/>
  </sheetViews>
  <sheetProtection password="CCF4"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Grafico4"/>
  <sheetViews>
    <sheetView zoomScale="140" workbookViewId="0"/>
  </sheetViews>
  <sheetProtection password="CCF4" content="1" objects="1"/>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25977" y="0"/>
    <xdr:ext cx="9812338" cy="6076950"/>
    <xdr:graphicFrame macro="">
      <xdr:nvGraphicFramePr>
        <xdr:cNvPr id="2" name="Gra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23956" y="-20411"/>
    <xdr:ext cx="9296937" cy="3946070"/>
    <xdr:graphicFrame macro="">
      <xdr:nvGraphicFramePr>
        <xdr:cNvPr id="2" name="Gra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i Office">
  <a:themeElements>
    <a:clrScheme name="Verde">
      <a:dk1>
        <a:sysClr val="windowText" lastClr="000000"/>
      </a:dk1>
      <a:lt1>
        <a:sysClr val="window" lastClr="FFFFFF"/>
      </a:lt1>
      <a:dk2>
        <a:srgbClr val="455F51"/>
      </a:dk2>
      <a:lt2>
        <a:srgbClr val="E3DED1"/>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BA6906"/>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sheetPr codeName="Foglio6">
    <pageSetUpPr fitToPage="1"/>
  </sheetPr>
  <dimension ref="A1:AG272"/>
  <sheetViews>
    <sheetView tabSelected="1" zoomScale="70" zoomScaleNormal="70" workbookViewId="0">
      <selection activeCell="K16" sqref="K16:M16"/>
    </sheetView>
  </sheetViews>
  <sheetFormatPr defaultRowHeight="15"/>
  <cols>
    <col min="2" max="2" width="9" customWidth="1"/>
    <col min="3" max="3" width="13" style="67" customWidth="1"/>
    <col min="4" max="4" width="51.5703125" style="67" customWidth="1"/>
    <col min="5" max="5" width="18" customWidth="1"/>
    <col min="6" max="6" width="15.7109375" bestFit="1" customWidth="1"/>
    <col min="7" max="7" width="20.85546875" customWidth="1"/>
    <col min="8" max="8" width="16.7109375" style="38" customWidth="1"/>
    <col min="9" max="9" width="15.7109375" bestFit="1" customWidth="1"/>
    <col min="10" max="10" width="15.42578125" customWidth="1"/>
    <col min="11" max="11" width="16.7109375" bestFit="1" customWidth="1"/>
    <col min="12" max="12" width="15" customWidth="1"/>
    <col min="13" max="13" width="22.140625" bestFit="1" customWidth="1"/>
    <col min="14" max="14" width="16.7109375" bestFit="1" customWidth="1"/>
    <col min="15" max="15" width="23.140625" customWidth="1"/>
    <col min="16" max="16" width="14" bestFit="1" customWidth="1"/>
    <col min="17" max="17" width="16.140625" customWidth="1"/>
    <col min="18" max="18" width="9.5703125" bestFit="1" customWidth="1"/>
    <col min="19" max="19" width="15.42578125" bestFit="1" customWidth="1"/>
    <col min="20" max="20" width="17.85546875" customWidth="1"/>
    <col min="21" max="21" width="15.5703125" customWidth="1"/>
    <col min="22" max="22" width="10.85546875" bestFit="1" customWidth="1"/>
    <col min="24" max="24" width="17" customWidth="1"/>
    <col min="26" max="26" width="12" bestFit="1" customWidth="1"/>
    <col min="30" max="30" width="68.5703125" customWidth="1"/>
  </cols>
  <sheetData>
    <row r="1" spans="1:22">
      <c r="A1" s="329" t="s">
        <v>358</v>
      </c>
      <c r="B1" s="330"/>
      <c r="C1" s="330"/>
      <c r="D1" s="330"/>
      <c r="E1" s="330"/>
      <c r="F1" s="330"/>
      <c r="G1" s="330"/>
      <c r="H1" s="330"/>
      <c r="I1" s="330"/>
      <c r="J1" s="330"/>
      <c r="K1" s="330"/>
      <c r="L1" s="330"/>
      <c r="M1" s="330"/>
      <c r="N1" s="330"/>
      <c r="O1" s="330"/>
    </row>
    <row r="2" spans="1:22" s="1" customFormat="1" ht="25.5" customHeight="1">
      <c r="A2" s="331"/>
      <c r="B2" s="331"/>
      <c r="C2" s="331"/>
      <c r="D2" s="331"/>
      <c r="E2" s="331"/>
      <c r="F2" s="331"/>
      <c r="G2" s="331"/>
      <c r="H2" s="331"/>
      <c r="I2" s="331"/>
      <c r="J2" s="331"/>
      <c r="K2" s="331"/>
      <c r="L2" s="331"/>
      <c r="M2" s="331"/>
      <c r="N2" s="331"/>
      <c r="O2" s="331"/>
    </row>
    <row r="3" spans="1:22" s="1" customFormat="1" ht="56.25">
      <c r="A3" s="343" t="s">
        <v>304</v>
      </c>
      <c r="B3" s="343"/>
      <c r="C3" s="343"/>
      <c r="D3" s="343"/>
      <c r="E3" s="343"/>
      <c r="F3" s="343"/>
      <c r="G3" s="10" t="s">
        <v>41</v>
      </c>
      <c r="H3" s="10" t="s">
        <v>4</v>
      </c>
      <c r="I3" s="10" t="s">
        <v>344</v>
      </c>
      <c r="J3" s="10" t="s">
        <v>89</v>
      </c>
      <c r="K3" s="51" t="s">
        <v>19</v>
      </c>
      <c r="L3" s="51" t="s">
        <v>49</v>
      </c>
      <c r="M3" s="10" t="s">
        <v>197</v>
      </c>
      <c r="N3" s="20" t="s">
        <v>51</v>
      </c>
      <c r="O3" s="10" t="s">
        <v>307</v>
      </c>
    </row>
    <row r="4" spans="1:22" s="1" customFormat="1">
      <c r="A4" s="344" t="s">
        <v>301</v>
      </c>
      <c r="B4" s="344"/>
      <c r="C4" s="344"/>
      <c r="D4" s="344"/>
      <c r="E4" s="344"/>
      <c r="F4" s="14" t="s">
        <v>255</v>
      </c>
      <c r="G4" s="16">
        <f>SUM(G5:G6)</f>
        <v>500000</v>
      </c>
      <c r="H4" s="16">
        <f>SUM(H5:H6)</f>
        <v>0</v>
      </c>
      <c r="I4" s="16">
        <f>SUM(I5:I6)</f>
        <v>0</v>
      </c>
      <c r="J4" s="21">
        <f>J5+J6</f>
        <v>0</v>
      </c>
      <c r="K4" s="53"/>
      <c r="L4" s="53"/>
      <c r="M4" s="21">
        <f>M5+M6</f>
        <v>0</v>
      </c>
      <c r="N4" s="21">
        <f>N5+N6</f>
        <v>0</v>
      </c>
      <c r="O4" s="24">
        <f>SUM(G4:N4)</f>
        <v>500000</v>
      </c>
      <c r="Q4" s="289"/>
    </row>
    <row r="5" spans="1:22" s="1" customFormat="1">
      <c r="A5" s="344"/>
      <c r="B5" s="344"/>
      <c r="C5" s="344"/>
      <c r="D5" s="344"/>
      <c r="E5" s="344"/>
      <c r="F5" s="15" t="s">
        <v>256</v>
      </c>
      <c r="G5" s="43">
        <v>500000</v>
      </c>
      <c r="H5" s="43"/>
      <c r="I5" s="43"/>
      <c r="J5" s="44"/>
      <c r="K5" s="54"/>
      <c r="L5" s="54"/>
      <c r="M5" s="43"/>
      <c r="N5" s="43"/>
      <c r="O5" s="345" t="s">
        <v>309</v>
      </c>
      <c r="P5" s="129"/>
    </row>
    <row r="6" spans="1:22" s="1" customFormat="1">
      <c r="A6" s="344"/>
      <c r="B6" s="344"/>
      <c r="C6" s="344"/>
      <c r="D6" s="344"/>
      <c r="E6" s="344"/>
      <c r="F6" s="15" t="s">
        <v>257</v>
      </c>
      <c r="G6" s="43"/>
      <c r="H6" s="43"/>
      <c r="I6" s="43"/>
      <c r="J6" s="44"/>
      <c r="K6" s="54"/>
      <c r="L6" s="54"/>
      <c r="M6" s="47"/>
      <c r="N6" s="44"/>
      <c r="O6" s="346"/>
    </row>
    <row r="7" spans="1:22" s="1" customFormat="1" ht="29.25" customHeight="1">
      <c r="A7" s="344" t="s">
        <v>302</v>
      </c>
      <c r="B7" s="344"/>
      <c r="C7" s="344"/>
      <c r="D7" s="344"/>
      <c r="E7" s="344"/>
      <c r="F7" s="15" t="s">
        <v>261</v>
      </c>
      <c r="G7" s="17">
        <f>IF(G4,IF(G4&gt;25000,0.03+10/POWER(G4,0.4),0.03+10/POWER(25000,0.4)),0)</f>
        <v>8.253055608807533E-2</v>
      </c>
      <c r="H7" s="17">
        <f>IF(H4,IF(H4&gt;25000,0.03+10/POWER(H4,0.4),0.03+10/POWER(25000,0.4)),0)</f>
        <v>0</v>
      </c>
      <c r="I7" s="17">
        <f>IF(I4,IF(I4&gt;25000,0.03+10/POWER(I4,0.4),0.03+10/POWER(25000,0.4)),0)</f>
        <v>0</v>
      </c>
      <c r="J7" s="22">
        <f>IF(J4,IF(J4&gt;25000,0.03+10/POWER(J4,0.4),0.03+10/POWER(25000,0.4)),0)</f>
        <v>0</v>
      </c>
      <c r="K7" s="55"/>
      <c r="L7" s="55"/>
      <c r="M7" s="48">
        <f>IF(M4,IF(M4&gt;25000,0.03+10/POWER(M4,0.4),0.03+10/POWER(25000,0.4)),0)</f>
        <v>0</v>
      </c>
      <c r="N7" s="22">
        <f>IF(N4,IF(N4&gt;25000,0.03+10/POWER(N4,0.4),0.03+10/POWER(25000,0.4)),0)</f>
        <v>0</v>
      </c>
      <c r="O7" s="346"/>
    </row>
    <row r="8" spans="1:22" s="1" customFormat="1">
      <c r="A8" s="344" t="s">
        <v>3</v>
      </c>
      <c r="B8" s="344"/>
      <c r="C8" s="344"/>
      <c r="D8" s="344"/>
      <c r="E8" s="344"/>
      <c r="F8" s="15" t="s">
        <v>267</v>
      </c>
      <c r="G8" s="114" t="s">
        <v>46</v>
      </c>
      <c r="H8" s="115" t="s">
        <v>6</v>
      </c>
      <c r="I8" s="115" t="s">
        <v>346</v>
      </c>
      <c r="J8" s="116" t="s">
        <v>17</v>
      </c>
      <c r="K8" s="56"/>
      <c r="L8" s="56"/>
      <c r="M8" s="117" t="s">
        <v>31</v>
      </c>
      <c r="N8" s="116" t="s">
        <v>39</v>
      </c>
      <c r="O8" s="346"/>
    </row>
    <row r="9" spans="1:22" s="1" customFormat="1">
      <c r="A9" s="344" t="s">
        <v>303</v>
      </c>
      <c r="B9" s="344"/>
      <c r="C9" s="344"/>
      <c r="D9" s="344"/>
      <c r="E9" s="344"/>
      <c r="F9" s="15" t="s">
        <v>262</v>
      </c>
      <c r="G9" s="18">
        <f>(VLOOKUP(ID,'Tab. coeff-ID'!$E$3:$G$68,3,FALSE))</f>
        <v>1.2</v>
      </c>
      <c r="H9" s="18">
        <f>VLOOKUP(H8,'Tab. coeff-ID'!$E$3:$G$68,3,FALSE)</f>
        <v>0.7</v>
      </c>
      <c r="I9" s="18">
        <f>VLOOKUP(I8,'Tab. coeff-ID'!$E$3:$G$68,3,FALSE)</f>
        <v>0.85</v>
      </c>
      <c r="J9" s="23">
        <f>VLOOKUP(J8,'Tab. coeff-ID'!$E$3:$G$68,3,FALSE)</f>
        <v>0.4</v>
      </c>
      <c r="K9" s="57"/>
      <c r="L9" s="57"/>
      <c r="M9" s="49">
        <f>VLOOKUP(M8,'Tab. coeff-ID'!$E$3:$G$68,3,FALSE)</f>
        <v>0.85</v>
      </c>
      <c r="N9" s="23">
        <f>VLOOKUP(N8,'Tab. coeff-ID'!$E$3:$G$68,3,FALSE)</f>
        <v>0.9</v>
      </c>
      <c r="O9" s="346"/>
    </row>
    <row r="10" spans="1:22" s="1" customFormat="1">
      <c r="A10" s="344" t="s">
        <v>269</v>
      </c>
      <c r="B10" s="344"/>
      <c r="C10" s="344"/>
      <c r="D10" s="344"/>
      <c r="E10" s="344"/>
      <c r="F10" s="15" t="s">
        <v>268</v>
      </c>
      <c r="G10" s="45" t="s">
        <v>266</v>
      </c>
      <c r="H10" s="45" t="str">
        <f>G10</f>
        <v>M</v>
      </c>
      <c r="I10" s="45" t="str">
        <f>H10</f>
        <v>M</v>
      </c>
      <c r="J10" s="46" t="str">
        <f>I10</f>
        <v>M</v>
      </c>
      <c r="K10" s="58"/>
      <c r="L10" s="58"/>
      <c r="M10" s="50" t="str">
        <f>J10</f>
        <v>M</v>
      </c>
      <c r="N10" s="46" t="str">
        <f>M10</f>
        <v>M</v>
      </c>
      <c r="O10" s="346"/>
    </row>
    <row r="11" spans="1:22" s="1" customFormat="1">
      <c r="A11" s="344" t="s">
        <v>356</v>
      </c>
      <c r="B11" s="344"/>
      <c r="C11" s="344"/>
      <c r="D11" s="344"/>
      <c r="E11" s="344"/>
      <c r="F11" s="15" t="s">
        <v>300</v>
      </c>
      <c r="G11" s="18">
        <f>IF(G9&lt;=0.7,VLOOKUP(G10,'Tab. coeff-ID'!$J$4:$P$6,7,FALSE),VLOOKUP(G10,'Tab. coeff-ID'!$J$7:$P$9,7,FALSE))</f>
        <v>0.28414267107513552</v>
      </c>
      <c r="H11" s="18">
        <f>IF(H9&lt;=0.7,VLOOKUP(H10,'Tab. coeff-ID'!$J$4:$P$6,7,FALSE),VLOOKUP(H10,'Tab. coeff-ID'!$J$7:$P$9,7,FALSE))</f>
        <v>0.31259520000000007</v>
      </c>
      <c r="I11" s="18">
        <f>IF(I9&lt;=0.7,VLOOKUP(I10,'Tab. coeff-ID'!$J$4:$P$6,7,FALSE),VLOOKUP(I10,'Tab. coeff-ID'!$J$7:$P$9,7,FALSE))</f>
        <v>0.28414267107513552</v>
      </c>
      <c r="J11" s="23">
        <f>IF(J9&lt;=0.7,VLOOKUP(J10,'Tab. coeff-ID'!$J$4:$P$6,7,FALSE),VLOOKUP(J10,'Tab. coeff-ID'!$J$7:$P$9,7,FALSE))</f>
        <v>0.31259520000000007</v>
      </c>
      <c r="K11" s="57"/>
      <c r="L11" s="57"/>
      <c r="M11" s="49">
        <f>IF(M9&lt;=0.7,VLOOKUP(M10,'Tab. coeff-ID'!$J$4:$P$6,7,FALSE),VLOOKUP(M10,'Tab. coeff-ID'!$J$7:$P$9,7,FALSE))</f>
        <v>0.28414267107513552</v>
      </c>
      <c r="N11" s="23">
        <f>IF(N9&lt;=0.7,VLOOKUP(N10,'Tab. coeff-ID'!$J$4:$P$6,7,FALSE),VLOOKUP(N10,'Tab. coeff-ID'!$J$7:$P$9,7,FALSE))</f>
        <v>0.28414267107513552</v>
      </c>
      <c r="O11" s="346"/>
    </row>
    <row r="12" spans="1:22" s="1" customFormat="1">
      <c r="A12" s="344" t="s">
        <v>306</v>
      </c>
      <c r="B12" s="344"/>
      <c r="C12" s="344"/>
      <c r="D12" s="344"/>
      <c r="E12" s="344"/>
      <c r="F12" s="344"/>
      <c r="G12" s="19">
        <f ca="1">G128</f>
        <v>34669.60365589337</v>
      </c>
      <c r="H12" s="19">
        <f ca="1">J128</f>
        <v>0</v>
      </c>
      <c r="I12" s="19">
        <f ca="1">M128</f>
        <v>0</v>
      </c>
      <c r="J12" s="19">
        <f ca="1">P128</f>
        <v>0</v>
      </c>
      <c r="K12" s="52"/>
      <c r="L12" s="52"/>
      <c r="M12" s="19">
        <f ca="1">S128</f>
        <v>0</v>
      </c>
      <c r="N12" s="19">
        <f ca="1">V128</f>
        <v>0</v>
      </c>
      <c r="O12" s="19">
        <f ca="1">SUM(G12:N12)</f>
        <v>34669.60365589337</v>
      </c>
    </row>
    <row r="13" spans="1:22" s="1" customFormat="1" ht="15" customHeight="1">
      <c r="A13" s="12"/>
      <c r="B13" s="13"/>
      <c r="C13" s="62"/>
      <c r="D13" s="62"/>
      <c r="E13" s="13"/>
      <c r="F13" s="13"/>
      <c r="G13" s="13"/>
      <c r="H13" s="13"/>
      <c r="I13" s="13"/>
      <c r="J13" s="296" t="s">
        <v>383</v>
      </c>
      <c r="K13" s="297"/>
      <c r="L13" s="297"/>
      <c r="M13" s="297"/>
      <c r="N13" s="298"/>
      <c r="O13" s="130">
        <f ca="1">IF(AND(O12&gt;0,O4&gt;0),O12/O4,0)</f>
        <v>6.9339207311786735E-2</v>
      </c>
    </row>
    <row r="14" spans="1:22" s="1" customFormat="1">
      <c r="A14" s="59"/>
      <c r="B14" s="60"/>
      <c r="C14" s="63"/>
      <c r="D14" s="63"/>
      <c r="E14" s="60"/>
      <c r="F14" s="60"/>
      <c r="G14" s="60"/>
      <c r="H14" s="60"/>
    </row>
    <row r="15" spans="1:22" s="1" customFormat="1" ht="15.75" customHeight="1" thickBot="1">
      <c r="A15" s="311" t="s">
        <v>355</v>
      </c>
      <c r="B15" s="312"/>
      <c r="C15" s="312"/>
      <c r="D15" s="312"/>
      <c r="E15" s="312"/>
      <c r="F15" s="312"/>
      <c r="G15" s="312"/>
      <c r="H15" s="312"/>
      <c r="I15" s="312"/>
      <c r="J15" s="312"/>
      <c r="K15" s="312"/>
      <c r="L15" s="312"/>
      <c r="M15" s="312"/>
      <c r="N15" s="312"/>
      <c r="O15" s="312"/>
      <c r="P15" s="312"/>
      <c r="Q15" s="312"/>
      <c r="R15" s="312"/>
      <c r="S15" s="312"/>
      <c r="T15" s="312"/>
      <c r="U15" s="312"/>
      <c r="V15" s="312"/>
    </row>
    <row r="16" spans="1:22" s="1" customFormat="1" ht="41.25" customHeight="1">
      <c r="A16" s="332" t="s">
        <v>59</v>
      </c>
      <c r="B16" s="332"/>
      <c r="C16" s="314" t="s">
        <v>60</v>
      </c>
      <c r="D16" s="315"/>
      <c r="E16" s="333" t="s">
        <v>41</v>
      </c>
      <c r="F16" s="300"/>
      <c r="G16" s="301"/>
      <c r="H16" s="334" t="s">
        <v>4</v>
      </c>
      <c r="I16" s="335"/>
      <c r="J16" s="336"/>
      <c r="K16" s="337" t="s">
        <v>344</v>
      </c>
      <c r="L16" s="338"/>
      <c r="M16" s="339"/>
      <c r="N16" s="340" t="s">
        <v>89</v>
      </c>
      <c r="O16" s="341"/>
      <c r="P16" s="342"/>
      <c r="Q16" s="299" t="s">
        <v>197</v>
      </c>
      <c r="R16" s="300"/>
      <c r="S16" s="301"/>
      <c r="T16" s="305" t="s">
        <v>51</v>
      </c>
      <c r="U16" s="306"/>
      <c r="V16" s="307"/>
    </row>
    <row r="17" spans="1:33" s="1" customFormat="1" ht="33.75">
      <c r="A17" s="332"/>
      <c r="B17" s="332"/>
      <c r="C17" s="314"/>
      <c r="D17" s="315"/>
      <c r="E17" s="69" t="s">
        <v>243</v>
      </c>
      <c r="F17" s="70" t="s">
        <v>352</v>
      </c>
      <c r="G17" s="71" t="s">
        <v>353</v>
      </c>
      <c r="H17" s="76" t="s">
        <v>243</v>
      </c>
      <c r="I17" s="77" t="s">
        <v>352</v>
      </c>
      <c r="J17" s="78" t="s">
        <v>353</v>
      </c>
      <c r="K17" s="80" t="s">
        <v>243</v>
      </c>
      <c r="L17" s="61" t="s">
        <v>352</v>
      </c>
      <c r="M17" s="81" t="s">
        <v>353</v>
      </c>
      <c r="N17" s="84" t="s">
        <v>243</v>
      </c>
      <c r="O17" s="83" t="s">
        <v>352</v>
      </c>
      <c r="P17" s="85" t="s">
        <v>353</v>
      </c>
      <c r="Q17" s="69" t="s">
        <v>243</v>
      </c>
      <c r="R17" s="70" t="s">
        <v>352</v>
      </c>
      <c r="S17" s="71" t="s">
        <v>353</v>
      </c>
      <c r="T17" s="87" t="s">
        <v>243</v>
      </c>
      <c r="U17" s="88" t="s">
        <v>352</v>
      </c>
      <c r="V17" s="89" t="s">
        <v>353</v>
      </c>
    </row>
    <row r="18" spans="1:33" s="1" customFormat="1" ht="15" customHeight="1">
      <c r="A18" s="325" t="s">
        <v>83</v>
      </c>
      <c r="B18" s="347" t="s">
        <v>80</v>
      </c>
      <c r="C18" s="119" t="s">
        <v>64</v>
      </c>
      <c r="D18" s="119" t="s">
        <v>65</v>
      </c>
      <c r="E18" s="73" t="s">
        <v>253</v>
      </c>
      <c r="F18" s="198">
        <v>1</v>
      </c>
      <c r="G18" s="199">
        <f ca="1">SUMIF('tab z-2'!$C$6:$V$140,$C18,'tab z-2'!$H$6:$H$140)*F18</f>
        <v>633.16222160891425</v>
      </c>
      <c r="H18" s="79"/>
      <c r="I18" s="200">
        <v>1</v>
      </c>
      <c r="J18" s="411">
        <f ca="1">SUMIF('tab z-2'!$C$6:$V$140,$C18,'tab z-2'!$J$6:$J$140)*I18</f>
        <v>0</v>
      </c>
      <c r="K18" s="82"/>
      <c r="L18" s="202">
        <v>1</v>
      </c>
      <c r="M18" s="203">
        <f ca="1">SUMIF('tab z-2'!$C$6:$V$140,$C18,'tab z-2'!$L$6:$L$140)*L18</f>
        <v>0</v>
      </c>
      <c r="N18" s="86"/>
      <c r="O18" s="204">
        <v>1</v>
      </c>
      <c r="P18" s="205">
        <f ca="1">SUMIF('tab z-2'!$C$6:$V$140,$C18,'tab z-2'!$N$6:$N$140)*O18</f>
        <v>0</v>
      </c>
      <c r="Q18" s="157"/>
      <c r="R18" s="206"/>
      <c r="S18" s="207"/>
      <c r="T18" s="172"/>
      <c r="U18" s="208"/>
      <c r="V18" s="209"/>
    </row>
    <row r="19" spans="1:33" s="1" customFormat="1">
      <c r="A19" s="328"/>
      <c r="B19" s="348"/>
      <c r="C19" s="210" t="s">
        <v>66</v>
      </c>
      <c r="D19" s="211" t="s">
        <v>67</v>
      </c>
      <c r="E19" s="157"/>
      <c r="F19" s="206"/>
      <c r="G19" s="207"/>
      <c r="H19" s="160"/>
      <c r="I19" s="212"/>
      <c r="J19" s="213"/>
      <c r="K19" s="163"/>
      <c r="L19" s="214"/>
      <c r="M19" s="215"/>
      <c r="N19" s="166"/>
      <c r="O19" s="216"/>
      <c r="P19" s="217"/>
      <c r="Q19" s="157"/>
      <c r="R19" s="206"/>
      <c r="S19" s="207"/>
      <c r="T19" s="172"/>
      <c r="U19" s="218"/>
      <c r="V19" s="219"/>
    </row>
    <row r="20" spans="1:33" s="1" customFormat="1">
      <c r="A20" s="328"/>
      <c r="B20" s="349"/>
      <c r="C20" s="210" t="s">
        <v>68</v>
      </c>
      <c r="D20" s="211" t="s">
        <v>69</v>
      </c>
      <c r="E20" s="157"/>
      <c r="F20" s="206"/>
      <c r="G20" s="207"/>
      <c r="H20" s="160"/>
      <c r="I20" s="212"/>
      <c r="J20" s="213"/>
      <c r="K20" s="163"/>
      <c r="L20" s="214"/>
      <c r="M20" s="215"/>
      <c r="N20" s="166"/>
      <c r="O20" s="216"/>
      <c r="P20" s="217"/>
      <c r="Q20" s="157"/>
      <c r="R20" s="206"/>
      <c r="S20" s="207"/>
      <c r="T20" s="172"/>
      <c r="U20" s="218"/>
      <c r="V20" s="219"/>
    </row>
    <row r="21" spans="1:33" s="1" customFormat="1" ht="22.5" customHeight="1">
      <c r="A21" s="328"/>
      <c r="B21" s="350" t="s">
        <v>81</v>
      </c>
      <c r="C21" s="210" t="s">
        <v>70</v>
      </c>
      <c r="D21" s="211" t="s">
        <v>85</v>
      </c>
      <c r="E21" s="157"/>
      <c r="F21" s="206"/>
      <c r="G21" s="207"/>
      <c r="H21" s="160"/>
      <c r="I21" s="212"/>
      <c r="J21" s="213"/>
      <c r="K21" s="163"/>
      <c r="L21" s="214"/>
      <c r="M21" s="215"/>
      <c r="N21" s="166"/>
      <c r="O21" s="216"/>
      <c r="P21" s="217"/>
      <c r="Q21" s="157"/>
      <c r="R21" s="206"/>
      <c r="S21" s="207"/>
      <c r="T21" s="172"/>
      <c r="U21" s="218"/>
      <c r="V21" s="219"/>
    </row>
    <row r="22" spans="1:33" s="1" customFormat="1" ht="22.5">
      <c r="A22" s="328"/>
      <c r="B22" s="347"/>
      <c r="C22" s="210" t="s">
        <v>71</v>
      </c>
      <c r="D22" s="211" t="s">
        <v>86</v>
      </c>
      <c r="E22" s="157"/>
      <c r="F22" s="206"/>
      <c r="G22" s="207"/>
      <c r="H22" s="160"/>
      <c r="I22" s="212"/>
      <c r="J22" s="213"/>
      <c r="K22" s="163"/>
      <c r="L22" s="214"/>
      <c r="M22" s="215"/>
      <c r="N22" s="166"/>
      <c r="O22" s="216"/>
      <c r="P22" s="217"/>
      <c r="Q22" s="157"/>
      <c r="R22" s="206"/>
      <c r="S22" s="207"/>
      <c r="T22" s="172"/>
      <c r="U22" s="218"/>
      <c r="V22" s="219"/>
    </row>
    <row r="23" spans="1:33" s="1" customFormat="1" ht="22.5">
      <c r="A23" s="328"/>
      <c r="B23" s="351"/>
      <c r="C23" s="210" t="s">
        <v>72</v>
      </c>
      <c r="D23" s="211" t="s">
        <v>87</v>
      </c>
      <c r="E23" s="157"/>
      <c r="F23" s="206"/>
      <c r="G23" s="207"/>
      <c r="H23" s="160"/>
      <c r="I23" s="212"/>
      <c r="J23" s="213"/>
      <c r="K23" s="163"/>
      <c r="L23" s="214"/>
      <c r="M23" s="215"/>
      <c r="N23" s="166"/>
      <c r="O23" s="216"/>
      <c r="P23" s="217"/>
      <c r="Q23" s="157"/>
      <c r="R23" s="206"/>
      <c r="S23" s="207"/>
      <c r="T23" s="172"/>
      <c r="U23" s="218"/>
      <c r="V23" s="219"/>
    </row>
    <row r="24" spans="1:33" s="1" customFormat="1" ht="33.75">
      <c r="A24" s="328"/>
      <c r="B24" s="350" t="s">
        <v>73</v>
      </c>
      <c r="C24" s="119" t="s">
        <v>74</v>
      </c>
      <c r="D24" s="119" t="s">
        <v>320</v>
      </c>
      <c r="E24" s="158"/>
      <c r="F24" s="158"/>
      <c r="G24" s="220">
        <f ca="1">SUMIF('tab z-2'!$C$6:$V$140,$C24,'tab z-2'!$H$6:$H$140)*F24</f>
        <v>0</v>
      </c>
      <c r="H24" s="161"/>
      <c r="I24" s="161"/>
      <c r="J24" s="221">
        <f ca="1">SUMIF('tab z-2'!$C$6:$V$140,$C24,'tab z-2'!$J$6:$J$140)*I24</f>
        <v>0</v>
      </c>
      <c r="K24" s="164"/>
      <c r="L24" s="164"/>
      <c r="M24" s="222">
        <f ca="1">SUMIF('tab z-2'!$C$6:$V$140,$C24,'tab z-2'!$L$6:$L$140)*L24</f>
        <v>0</v>
      </c>
      <c r="N24" s="167"/>
      <c r="O24" s="168"/>
      <c r="P24" s="223">
        <f ca="1">SUMIF('tab z-2'!$C$6:$V$140,$C24,'tab z-2'!$N$6:$N$140)*O24</f>
        <v>0</v>
      </c>
      <c r="Q24" s="73"/>
      <c r="R24" s="198">
        <v>1</v>
      </c>
      <c r="S24" s="199">
        <f ca="1">SUMIF('tab z-2'!$C$6:$V$140,$C24,'tab z-2'!$T$6:$T$140)*R24</f>
        <v>0</v>
      </c>
      <c r="T24" s="90"/>
      <c r="U24" s="224">
        <v>1</v>
      </c>
      <c r="V24" s="225">
        <f ca="1">SUMIF('tab z-2'!$C$6:$V$140,$C24,'tab z-2'!$V$6:$V$140)*U24</f>
        <v>0</v>
      </c>
    </row>
    <row r="25" spans="1:33" s="1" customFormat="1" ht="22.5">
      <c r="A25" s="328"/>
      <c r="B25" s="347"/>
      <c r="C25" s="119" t="s">
        <v>75</v>
      </c>
      <c r="D25" s="119" t="s">
        <v>88</v>
      </c>
      <c r="E25" s="158"/>
      <c r="F25" s="158"/>
      <c r="G25" s="220">
        <f ca="1">SUMIF('tab z-2'!$C$6:$V$140,$C25,'tab z-2'!$H$6:$H$140)*F25</f>
        <v>0</v>
      </c>
      <c r="H25" s="161"/>
      <c r="I25" s="161"/>
      <c r="J25" s="221">
        <f ca="1">SUMIF('tab z-2'!$C$6:$V$140,$C25,'tab z-2'!$J$6:$J$140)*I25</f>
        <v>0</v>
      </c>
      <c r="K25" s="164"/>
      <c r="L25" s="164"/>
      <c r="M25" s="222">
        <f ca="1">SUMIF('tab z-2'!$C$6:$V$140,$C25,'tab z-2'!$L$6:$L$140)*L25</f>
        <v>0</v>
      </c>
      <c r="N25" s="167"/>
      <c r="O25" s="168"/>
      <c r="P25" s="223">
        <f ca="1">SUMIF('tab z-2'!$C$6:$V$140,$C25,'tab z-2'!$N$6:$N$140)*O25</f>
        <v>0</v>
      </c>
      <c r="Q25" s="73"/>
      <c r="R25" s="198">
        <v>1</v>
      </c>
      <c r="S25" s="199">
        <f ca="1">SUMIF('tab z-2'!$C$6:$V$140,$C25,'tab z-2'!$T$6:$T$140)*R25</f>
        <v>0</v>
      </c>
      <c r="T25" s="90"/>
      <c r="U25" s="224">
        <v>1</v>
      </c>
      <c r="V25" s="225">
        <f ca="1">SUMIF('tab z-2'!$C$6:$V$140,$C25,'tab z-2'!$V$6:$V$140)*U25</f>
        <v>0</v>
      </c>
    </row>
    <row r="26" spans="1:33" s="1" customFormat="1" ht="67.5">
      <c r="A26" s="328"/>
      <c r="B26" s="351"/>
      <c r="C26" s="119" t="s">
        <v>76</v>
      </c>
      <c r="D26" s="119" t="s">
        <v>244</v>
      </c>
      <c r="E26" s="158"/>
      <c r="F26" s="158"/>
      <c r="G26" s="220">
        <f ca="1">SUMIF('tab z-2'!$C$6:$V$140,$C26,'tab z-2'!$H$6:$H$140)*F26</f>
        <v>0</v>
      </c>
      <c r="H26" s="161"/>
      <c r="I26" s="161"/>
      <c r="J26" s="221">
        <f ca="1">SUMIF('tab z-2'!$C$6:$V$140,$C26,'tab z-2'!$J$6:$J$140)*I26</f>
        <v>0</v>
      </c>
      <c r="K26" s="164"/>
      <c r="L26" s="164"/>
      <c r="M26" s="222">
        <f ca="1">SUMIF('tab z-2'!$C$6:$V$140,$C26,'tab z-2'!$L$6:$L$140)*L26</f>
        <v>0</v>
      </c>
      <c r="N26" s="167"/>
      <c r="O26" s="168"/>
      <c r="P26" s="223">
        <f ca="1">SUMIF('tab z-2'!$C$6:$V$140,$C26,'tab z-2'!$N$6:$N$140)*O26</f>
        <v>0</v>
      </c>
      <c r="Q26" s="73"/>
      <c r="R26" s="226">
        <v>1</v>
      </c>
      <c r="S26" s="199">
        <f ca="1">SUMIF('tab z-2'!$C$6:$V$140,$C26,'tab z-2'!$T$6:$T$140)*R26</f>
        <v>0</v>
      </c>
      <c r="T26" s="172"/>
      <c r="U26" s="218"/>
      <c r="V26" s="227">
        <f ca="1">SUMIF('tab z-2'!$C$6:$V$140,$C26,'tab z-2'!$V$6:$V$140)*U26</f>
        <v>0</v>
      </c>
    </row>
    <row r="27" spans="1:33" s="1" customFormat="1" ht="22.5">
      <c r="A27" s="328"/>
      <c r="B27" s="228" t="s">
        <v>82</v>
      </c>
      <c r="C27" s="210" t="s">
        <v>77</v>
      </c>
      <c r="D27" s="211" t="s">
        <v>78</v>
      </c>
      <c r="E27" s="157"/>
      <c r="F27" s="158"/>
      <c r="G27" s="207"/>
      <c r="H27" s="160"/>
      <c r="I27" s="161"/>
      <c r="J27" s="213"/>
      <c r="K27" s="163"/>
      <c r="L27" s="164"/>
      <c r="M27" s="215"/>
      <c r="N27" s="169"/>
      <c r="O27" s="216"/>
      <c r="P27" s="217"/>
      <c r="Q27" s="157"/>
      <c r="R27" s="206"/>
      <c r="S27" s="207"/>
      <c r="T27" s="172"/>
      <c r="U27" s="218"/>
      <c r="V27" s="219"/>
    </row>
    <row r="28" spans="1:33" s="1" customFormat="1" ht="15" customHeight="1">
      <c r="A28" s="325" t="s">
        <v>90</v>
      </c>
      <c r="B28" s="356" t="s">
        <v>91</v>
      </c>
      <c r="C28" s="210" t="s">
        <v>92</v>
      </c>
      <c r="D28" s="211" t="s">
        <v>93</v>
      </c>
      <c r="E28" s="157"/>
      <c r="F28" s="206"/>
      <c r="G28" s="207"/>
      <c r="H28" s="160"/>
      <c r="I28" s="161"/>
      <c r="J28" s="213"/>
      <c r="K28" s="82"/>
      <c r="L28" s="202">
        <v>1</v>
      </c>
      <c r="M28" s="203">
        <f ca="1">SUMIF('tab z-2'!$C$6:$V$140,$C28,'tab z-2'!$L$6:$L$140)*L28</f>
        <v>0</v>
      </c>
      <c r="N28" s="86"/>
      <c r="O28" s="204">
        <v>1</v>
      </c>
      <c r="P28" s="205">
        <f ca="1">SUMIF('tab z-2'!$C$6:$V$140,$C28,'tab z-2'!$N$6:$N$140)*O28</f>
        <v>0</v>
      </c>
      <c r="Q28" s="157"/>
      <c r="R28" s="206"/>
      <c r="S28" s="207"/>
      <c r="T28" s="172"/>
      <c r="U28" s="218"/>
      <c r="V28" s="227">
        <f ca="1">SUMIF('tab z-2'!$C$6:$V$140,$C28,'tab z-2'!$V$6:$V$140)*U28</f>
        <v>0</v>
      </c>
      <c r="AG28" s="27"/>
    </row>
    <row r="29" spans="1:33" s="1" customFormat="1">
      <c r="A29" s="328"/>
      <c r="B29" s="354"/>
      <c r="C29" s="119" t="s">
        <v>94</v>
      </c>
      <c r="D29" s="119" t="s">
        <v>95</v>
      </c>
      <c r="E29" s="73" t="s">
        <v>253</v>
      </c>
      <c r="F29" s="198">
        <v>1</v>
      </c>
      <c r="G29" s="199">
        <f ca="1">SUMIF('tab z-2'!$C$6:$V$140,$C29,'tab z-2'!$H$6:$H$140)*F29</f>
        <v>140.70271591309208</v>
      </c>
      <c r="H29" s="160"/>
      <c r="I29" s="161"/>
      <c r="J29" s="213"/>
      <c r="K29" s="82"/>
      <c r="L29" s="202">
        <v>1</v>
      </c>
      <c r="M29" s="203">
        <f ca="1">SUMIF('tab z-2'!$C$6:$V$140,$C29,'tab z-2'!$L$6:$L$140)*L29</f>
        <v>0</v>
      </c>
      <c r="N29" s="86"/>
      <c r="O29" s="204">
        <v>1</v>
      </c>
      <c r="P29" s="205">
        <f ca="1">SUMIF('tab z-2'!$C$6:$V$140,$C29,'tab z-2'!$N$6:$N$140)*O29</f>
        <v>0</v>
      </c>
      <c r="Q29" s="73"/>
      <c r="R29" s="198">
        <v>1</v>
      </c>
      <c r="S29" s="199">
        <f ca="1">SUMIF('tab z-2'!$C$6:$V$140,$C29,'tab z-2'!$T$6:$T$140)*R29</f>
        <v>0</v>
      </c>
      <c r="T29" s="172"/>
      <c r="U29" s="218"/>
      <c r="V29" s="227">
        <f ca="1">SUMIF('tab z-2'!$C$6:$V$140,$C29,'tab z-2'!$V$6:$V$140)*U29</f>
        <v>0</v>
      </c>
      <c r="AG29" s="27"/>
    </row>
    <row r="30" spans="1:33" s="1" customFormat="1" ht="22.5">
      <c r="A30" s="328"/>
      <c r="B30" s="354"/>
      <c r="C30" s="210" t="s">
        <v>96</v>
      </c>
      <c r="D30" s="211" t="s">
        <v>97</v>
      </c>
      <c r="E30" s="157"/>
      <c r="F30" s="158"/>
      <c r="G30" s="207"/>
      <c r="H30" s="160"/>
      <c r="I30" s="161"/>
      <c r="J30" s="213"/>
      <c r="K30" s="82"/>
      <c r="L30" s="202">
        <v>1</v>
      </c>
      <c r="M30" s="203">
        <f ca="1">SUMIF('tab z-2'!$C$6:$V$140,$C30,'tab z-2'!$L$6:$L$140)*L30</f>
        <v>0</v>
      </c>
      <c r="N30" s="86"/>
      <c r="O30" s="204">
        <v>1</v>
      </c>
      <c r="P30" s="205">
        <f ca="1">SUMIF('tab z-2'!$C$6:$V$140,$C30,'tab z-2'!$N$6:$N$140)*O30</f>
        <v>0</v>
      </c>
      <c r="Q30" s="157"/>
      <c r="R30" s="206"/>
      <c r="S30" s="207"/>
      <c r="T30" s="172"/>
      <c r="U30" s="218"/>
      <c r="V30" s="227">
        <f ca="1">SUMIF('tab z-2'!$C$6:$V$140,$C30,'tab z-2'!$V$6:$V$140)*U30</f>
        <v>0</v>
      </c>
      <c r="AC30" s="27"/>
      <c r="AD30" s="27"/>
      <c r="AE30" s="27"/>
      <c r="AF30" s="27"/>
      <c r="AG30" s="27"/>
    </row>
    <row r="31" spans="1:33" s="1" customFormat="1">
      <c r="A31" s="328"/>
      <c r="B31" s="354"/>
      <c r="C31" s="210" t="s">
        <v>98</v>
      </c>
      <c r="D31" s="211" t="s">
        <v>260</v>
      </c>
      <c r="E31" s="229"/>
      <c r="F31" s="230"/>
      <c r="G31" s="207"/>
      <c r="H31" s="160"/>
      <c r="I31" s="161"/>
      <c r="J31" s="213"/>
      <c r="K31" s="231"/>
      <c r="L31" s="232"/>
      <c r="M31" s="215"/>
      <c r="N31" s="233"/>
      <c r="O31" s="234"/>
      <c r="P31" s="217"/>
      <c r="Q31" s="157"/>
      <c r="R31" s="206"/>
      <c r="S31" s="207"/>
      <c r="T31" s="172"/>
      <c r="U31" s="218"/>
      <c r="V31" s="219"/>
      <c r="AC31" s="27"/>
      <c r="AD31" s="27"/>
      <c r="AE31" s="27"/>
      <c r="AF31" s="27"/>
      <c r="AG31" s="27"/>
    </row>
    <row r="32" spans="1:33" s="1" customFormat="1" ht="17.25">
      <c r="A32" s="328"/>
      <c r="B32" s="354"/>
      <c r="C32" s="210" t="s">
        <v>99</v>
      </c>
      <c r="D32" s="211" t="s">
        <v>245</v>
      </c>
      <c r="E32" s="157"/>
      <c r="F32" s="158"/>
      <c r="G32" s="207"/>
      <c r="H32" s="160"/>
      <c r="I32" s="161"/>
      <c r="J32" s="213"/>
      <c r="K32" s="82"/>
      <c r="L32" s="202">
        <v>1</v>
      </c>
      <c r="M32" s="203">
        <f ca="1">SUMIF('tab z-2'!$C$6:$V$140,$C32,'tab z-2'!$L$6:$L$140)*L32</f>
        <v>0</v>
      </c>
      <c r="N32" s="86"/>
      <c r="O32" s="204">
        <v>1</v>
      </c>
      <c r="P32" s="205">
        <f ca="1">SUMIF('tab z-2'!$C$6:$V$140,$C32,'tab z-2'!$N$6:$N$140)*O32</f>
        <v>0</v>
      </c>
      <c r="Q32" s="157"/>
      <c r="R32" s="206"/>
      <c r="S32" s="207"/>
      <c r="T32" s="172"/>
      <c r="U32" s="218"/>
      <c r="V32" s="227">
        <f ca="1">SUMIF('tab z-2'!$C$6:$V$140,$C32,'tab z-2'!$V$6:$V$140)*U32</f>
        <v>0</v>
      </c>
      <c r="AC32" s="27"/>
      <c r="AD32" s="27"/>
      <c r="AE32" s="27"/>
      <c r="AF32" s="27"/>
      <c r="AG32" s="27"/>
    </row>
    <row r="33" spans="1:33" s="1" customFormat="1">
      <c r="A33" s="328"/>
      <c r="B33" s="354"/>
      <c r="C33" s="210" t="s">
        <v>100</v>
      </c>
      <c r="D33" s="211" t="s">
        <v>101</v>
      </c>
      <c r="E33" s="157"/>
      <c r="F33" s="206"/>
      <c r="G33" s="207"/>
      <c r="H33" s="160"/>
      <c r="I33" s="212"/>
      <c r="J33" s="213"/>
      <c r="K33" s="163"/>
      <c r="L33" s="214"/>
      <c r="M33" s="215"/>
      <c r="N33" s="166"/>
      <c r="O33" s="216"/>
      <c r="P33" s="217"/>
      <c r="Q33" s="157"/>
      <c r="R33" s="206"/>
      <c r="S33" s="207"/>
      <c r="T33" s="172"/>
      <c r="U33" s="218"/>
      <c r="V33" s="219"/>
      <c r="AC33" s="27"/>
      <c r="AD33" s="27"/>
      <c r="AE33" s="27"/>
      <c r="AF33" s="27"/>
      <c r="AG33" s="27"/>
    </row>
    <row r="34" spans="1:33" s="1" customFormat="1">
      <c r="A34" s="328"/>
      <c r="B34" s="354"/>
      <c r="C34" s="210" t="s">
        <v>102</v>
      </c>
      <c r="D34" s="211" t="s">
        <v>103</v>
      </c>
      <c r="E34" s="157"/>
      <c r="F34" s="206"/>
      <c r="G34" s="207"/>
      <c r="H34" s="160"/>
      <c r="I34" s="212"/>
      <c r="J34" s="213"/>
      <c r="K34" s="163"/>
      <c r="L34" s="214"/>
      <c r="M34" s="215"/>
      <c r="N34" s="166"/>
      <c r="O34" s="216"/>
      <c r="P34" s="217"/>
      <c r="Q34" s="157"/>
      <c r="R34" s="206"/>
      <c r="S34" s="207"/>
      <c r="T34" s="172"/>
      <c r="U34" s="218"/>
      <c r="V34" s="219"/>
      <c r="AC34" s="27"/>
      <c r="AD34" s="27"/>
      <c r="AE34" s="27"/>
      <c r="AF34" s="27"/>
      <c r="AG34" s="27"/>
    </row>
    <row r="35" spans="1:33" s="1" customFormat="1">
      <c r="A35" s="328"/>
      <c r="B35" s="354"/>
      <c r="C35" s="210" t="s">
        <v>104</v>
      </c>
      <c r="D35" s="211" t="s">
        <v>105</v>
      </c>
      <c r="E35" s="157"/>
      <c r="F35" s="206"/>
      <c r="G35" s="207"/>
      <c r="H35" s="160"/>
      <c r="I35" s="212"/>
      <c r="J35" s="213"/>
      <c r="K35" s="163"/>
      <c r="L35" s="214"/>
      <c r="M35" s="215"/>
      <c r="N35" s="166"/>
      <c r="O35" s="216"/>
      <c r="P35" s="217"/>
      <c r="Q35" s="157"/>
      <c r="R35" s="206"/>
      <c r="S35" s="207"/>
      <c r="T35" s="172"/>
      <c r="U35" s="218"/>
      <c r="V35" s="219"/>
      <c r="AC35" s="27"/>
      <c r="AD35" s="27"/>
      <c r="AE35" s="27"/>
      <c r="AF35" s="27"/>
      <c r="AG35" s="27"/>
    </row>
    <row r="36" spans="1:33" s="1" customFormat="1">
      <c r="A36" s="328"/>
      <c r="B36" s="354"/>
      <c r="C36" s="210" t="s">
        <v>106</v>
      </c>
      <c r="D36" s="211" t="s">
        <v>107</v>
      </c>
      <c r="E36" s="157"/>
      <c r="F36" s="206"/>
      <c r="G36" s="207"/>
      <c r="H36" s="160"/>
      <c r="I36" s="212"/>
      <c r="J36" s="213"/>
      <c r="K36" s="163"/>
      <c r="L36" s="214"/>
      <c r="M36" s="215"/>
      <c r="N36" s="166"/>
      <c r="O36" s="216"/>
      <c r="P36" s="217"/>
      <c r="Q36" s="157"/>
      <c r="R36" s="206"/>
      <c r="S36" s="207"/>
      <c r="T36" s="172"/>
      <c r="U36" s="218"/>
      <c r="V36" s="219"/>
      <c r="AC36" s="27"/>
      <c r="AD36" s="27"/>
      <c r="AE36" s="27"/>
      <c r="AF36" s="27"/>
      <c r="AG36" s="27"/>
    </row>
    <row r="37" spans="1:33" s="1" customFormat="1">
      <c r="A37" s="328"/>
      <c r="B37" s="354"/>
      <c r="C37" s="210" t="s">
        <v>108</v>
      </c>
      <c r="D37" s="211" t="s">
        <v>109</v>
      </c>
      <c r="E37" s="157"/>
      <c r="F37" s="206"/>
      <c r="G37" s="207"/>
      <c r="H37" s="160"/>
      <c r="I37" s="212"/>
      <c r="J37" s="213"/>
      <c r="K37" s="163"/>
      <c r="L37" s="214"/>
      <c r="M37" s="215"/>
      <c r="N37" s="166"/>
      <c r="O37" s="216"/>
      <c r="P37" s="217"/>
      <c r="Q37" s="157"/>
      <c r="R37" s="206"/>
      <c r="S37" s="207"/>
      <c r="T37" s="172"/>
      <c r="U37" s="218"/>
      <c r="V37" s="219"/>
      <c r="AC37" s="27"/>
      <c r="AD37" s="27"/>
      <c r="AE37" s="27"/>
      <c r="AF37" s="27"/>
      <c r="AG37" s="27"/>
    </row>
    <row r="38" spans="1:33" s="1" customFormat="1">
      <c r="A38" s="328"/>
      <c r="B38" s="354"/>
      <c r="C38" s="235" t="s">
        <v>110</v>
      </c>
      <c r="D38" s="68" t="s">
        <v>254</v>
      </c>
      <c r="E38" s="157"/>
      <c r="F38" s="206"/>
      <c r="G38" s="207"/>
      <c r="H38" s="160"/>
      <c r="I38" s="212"/>
      <c r="J38" s="213"/>
      <c r="K38" s="163"/>
      <c r="L38" s="214"/>
      <c r="M38" s="215"/>
      <c r="N38" s="166"/>
      <c r="O38" s="216"/>
      <c r="P38" s="217"/>
      <c r="Q38" s="157"/>
      <c r="R38" s="206"/>
      <c r="S38" s="207"/>
      <c r="T38" s="172"/>
      <c r="U38" s="218"/>
      <c r="V38" s="219"/>
      <c r="AC38" s="27"/>
      <c r="AD38" s="27"/>
      <c r="AE38" s="27"/>
      <c r="AF38" s="27"/>
      <c r="AG38" s="27"/>
    </row>
    <row r="39" spans="1:33" s="1" customFormat="1" ht="22.5">
      <c r="A39" s="328"/>
      <c r="B39" s="354"/>
      <c r="C39" s="210" t="s">
        <v>111</v>
      </c>
      <c r="D39" s="68" t="s">
        <v>127</v>
      </c>
      <c r="E39" s="157"/>
      <c r="F39" s="206"/>
      <c r="G39" s="207"/>
      <c r="H39" s="160"/>
      <c r="I39" s="212"/>
      <c r="J39" s="213"/>
      <c r="K39" s="163"/>
      <c r="L39" s="214"/>
      <c r="M39" s="215"/>
      <c r="N39" s="166"/>
      <c r="O39" s="216"/>
      <c r="P39" s="217"/>
      <c r="Q39" s="157"/>
      <c r="R39" s="206"/>
      <c r="S39" s="207"/>
      <c r="T39" s="172"/>
      <c r="U39" s="218"/>
      <c r="V39" s="219"/>
      <c r="AC39" s="27"/>
      <c r="AD39" s="27"/>
      <c r="AE39" s="27"/>
      <c r="AF39" s="27"/>
      <c r="AG39" s="27"/>
    </row>
    <row r="40" spans="1:33" s="1" customFormat="1">
      <c r="A40" s="328"/>
      <c r="B40" s="354"/>
      <c r="C40" s="210" t="s">
        <v>112</v>
      </c>
      <c r="D40" s="211" t="s">
        <v>113</v>
      </c>
      <c r="E40" s="157"/>
      <c r="F40" s="206"/>
      <c r="G40" s="207"/>
      <c r="H40" s="160"/>
      <c r="I40" s="212"/>
      <c r="J40" s="213"/>
      <c r="K40" s="163"/>
      <c r="L40" s="214"/>
      <c r="M40" s="215"/>
      <c r="N40" s="166"/>
      <c r="O40" s="216"/>
      <c r="P40" s="217"/>
      <c r="Q40" s="157"/>
      <c r="R40" s="206"/>
      <c r="S40" s="207"/>
      <c r="T40" s="172"/>
      <c r="U40" s="218"/>
      <c r="V40" s="219"/>
      <c r="AC40" s="27"/>
      <c r="AD40" s="27"/>
      <c r="AE40" s="27"/>
      <c r="AF40" s="27"/>
      <c r="AG40" s="27"/>
    </row>
    <row r="41" spans="1:33" s="1" customFormat="1" ht="28.5">
      <c r="A41" s="328"/>
      <c r="B41" s="354"/>
      <c r="C41" s="210" t="s">
        <v>114</v>
      </c>
      <c r="D41" s="211" t="s">
        <v>247</v>
      </c>
      <c r="E41" s="157"/>
      <c r="F41" s="206"/>
      <c r="G41" s="207"/>
      <c r="H41" s="160"/>
      <c r="I41" s="212"/>
      <c r="J41" s="213"/>
      <c r="K41" s="163"/>
      <c r="L41" s="214"/>
      <c r="M41" s="215"/>
      <c r="N41" s="166"/>
      <c r="O41" s="216"/>
      <c r="P41" s="217"/>
      <c r="Q41" s="157"/>
      <c r="R41" s="206"/>
      <c r="S41" s="207"/>
      <c r="T41" s="172"/>
      <c r="U41" s="218"/>
      <c r="V41" s="219"/>
      <c r="AC41" s="27"/>
      <c r="AD41" s="27"/>
      <c r="AE41" s="27"/>
      <c r="AF41" s="27"/>
      <c r="AG41" s="27"/>
    </row>
    <row r="42" spans="1:33" s="1" customFormat="1">
      <c r="A42" s="328"/>
      <c r="B42" s="354"/>
      <c r="C42" s="210" t="s">
        <v>115</v>
      </c>
      <c r="D42" s="211" t="s">
        <v>116</v>
      </c>
      <c r="E42" s="157"/>
      <c r="F42" s="206"/>
      <c r="G42" s="207"/>
      <c r="H42" s="160"/>
      <c r="I42" s="212"/>
      <c r="J42" s="213"/>
      <c r="K42" s="163"/>
      <c r="L42" s="214"/>
      <c r="M42" s="215"/>
      <c r="N42" s="166"/>
      <c r="O42" s="216"/>
      <c r="P42" s="217"/>
      <c r="Q42" s="157"/>
      <c r="R42" s="206"/>
      <c r="S42" s="207"/>
      <c r="T42" s="172"/>
      <c r="U42" s="218"/>
      <c r="V42" s="219"/>
      <c r="AC42" s="27"/>
      <c r="AD42" s="27"/>
      <c r="AE42" s="27"/>
      <c r="AF42" s="27"/>
      <c r="AG42" s="27"/>
    </row>
    <row r="43" spans="1:33" s="1" customFormat="1">
      <c r="A43" s="328"/>
      <c r="B43" s="354"/>
      <c r="C43" s="210" t="s">
        <v>117</v>
      </c>
      <c r="D43" s="211" t="s">
        <v>118</v>
      </c>
      <c r="E43" s="157"/>
      <c r="F43" s="206"/>
      <c r="G43" s="207"/>
      <c r="H43" s="160"/>
      <c r="I43" s="212"/>
      <c r="J43" s="213"/>
      <c r="K43" s="163"/>
      <c r="L43" s="214"/>
      <c r="M43" s="215"/>
      <c r="N43" s="166"/>
      <c r="O43" s="216"/>
      <c r="P43" s="217"/>
      <c r="Q43" s="157"/>
      <c r="R43" s="206"/>
      <c r="S43" s="207"/>
      <c r="T43" s="172"/>
      <c r="U43" s="218"/>
      <c r="V43" s="219"/>
      <c r="AC43" s="27"/>
      <c r="AD43" s="27"/>
      <c r="AE43" s="27"/>
      <c r="AF43" s="27"/>
      <c r="AG43" s="27"/>
    </row>
    <row r="44" spans="1:33" s="1" customFormat="1">
      <c r="A44" s="328"/>
      <c r="B44" s="354"/>
      <c r="C44" s="235" t="s">
        <v>119</v>
      </c>
      <c r="D44" s="68" t="s">
        <v>120</v>
      </c>
      <c r="E44" s="157"/>
      <c r="F44" s="206"/>
      <c r="G44" s="207"/>
      <c r="H44" s="160"/>
      <c r="I44" s="212"/>
      <c r="J44" s="213"/>
      <c r="K44" s="163"/>
      <c r="L44" s="214"/>
      <c r="M44" s="215"/>
      <c r="N44" s="166"/>
      <c r="O44" s="216"/>
      <c r="P44" s="217"/>
      <c r="Q44" s="157"/>
      <c r="R44" s="206"/>
      <c r="S44" s="207"/>
      <c r="T44" s="172"/>
      <c r="U44" s="218"/>
      <c r="V44" s="219"/>
      <c r="AC44" s="27"/>
      <c r="AD44" s="27"/>
      <c r="AE44" s="27"/>
      <c r="AF44" s="27"/>
      <c r="AG44" s="27"/>
    </row>
    <row r="45" spans="1:33" s="1" customFormat="1">
      <c r="A45" s="328"/>
      <c r="B45" s="354"/>
      <c r="C45" s="235" t="s">
        <v>121</v>
      </c>
      <c r="D45" s="68" t="s">
        <v>122</v>
      </c>
      <c r="E45" s="157"/>
      <c r="F45" s="206"/>
      <c r="G45" s="207"/>
      <c r="H45" s="160"/>
      <c r="I45" s="212"/>
      <c r="J45" s="213"/>
      <c r="K45" s="163"/>
      <c r="L45" s="214"/>
      <c r="M45" s="215"/>
      <c r="N45" s="166"/>
      <c r="O45" s="216"/>
      <c r="P45" s="217"/>
      <c r="Q45" s="157"/>
      <c r="R45" s="206"/>
      <c r="S45" s="207"/>
      <c r="T45" s="172"/>
      <c r="U45" s="218"/>
      <c r="V45" s="219"/>
      <c r="AC45" s="27"/>
      <c r="AD45" s="27"/>
      <c r="AE45" s="27"/>
      <c r="AF45" s="27"/>
      <c r="AG45" s="27"/>
    </row>
    <row r="46" spans="1:33" s="1" customFormat="1" ht="22.5">
      <c r="A46" s="328"/>
      <c r="B46" s="354"/>
      <c r="C46" s="210" t="s">
        <v>123</v>
      </c>
      <c r="D46" s="211" t="s">
        <v>124</v>
      </c>
      <c r="E46" s="157"/>
      <c r="F46" s="206"/>
      <c r="G46" s="207"/>
      <c r="H46" s="160"/>
      <c r="I46" s="212"/>
      <c r="J46" s="213"/>
      <c r="K46" s="163"/>
      <c r="L46" s="214"/>
      <c r="M46" s="215"/>
      <c r="N46" s="166"/>
      <c r="O46" s="216"/>
      <c r="P46" s="217"/>
      <c r="Q46" s="157"/>
      <c r="R46" s="206"/>
      <c r="S46" s="207"/>
      <c r="T46" s="172"/>
      <c r="U46" s="218"/>
      <c r="V46" s="219"/>
      <c r="AC46" s="27"/>
      <c r="AD46" s="27"/>
      <c r="AE46" s="27"/>
      <c r="AF46" s="27"/>
      <c r="AG46" s="27"/>
    </row>
    <row r="47" spans="1:33" s="1" customFormat="1">
      <c r="A47" s="328"/>
      <c r="B47" s="355"/>
      <c r="C47" s="210" t="s">
        <v>125</v>
      </c>
      <c r="D47" s="211" t="s">
        <v>126</v>
      </c>
      <c r="E47" s="157"/>
      <c r="F47" s="206"/>
      <c r="G47" s="207"/>
      <c r="H47" s="160"/>
      <c r="I47" s="212"/>
      <c r="J47" s="213"/>
      <c r="K47" s="163"/>
      <c r="L47" s="214"/>
      <c r="M47" s="215"/>
      <c r="N47" s="166"/>
      <c r="O47" s="216"/>
      <c r="P47" s="217"/>
      <c r="Q47" s="157"/>
      <c r="R47" s="206"/>
      <c r="S47" s="207"/>
      <c r="T47" s="172"/>
      <c r="U47" s="218"/>
      <c r="V47" s="219"/>
      <c r="AC47" s="27"/>
      <c r="AD47" s="27"/>
      <c r="AE47" s="27"/>
      <c r="AF47" s="27"/>
      <c r="AG47" s="27"/>
    </row>
    <row r="48" spans="1:33" s="1" customFormat="1" ht="33.75" customHeight="1">
      <c r="A48" s="328"/>
      <c r="B48" s="325" t="s">
        <v>128</v>
      </c>
      <c r="C48" s="119" t="s">
        <v>129</v>
      </c>
      <c r="D48" s="119" t="s">
        <v>130</v>
      </c>
      <c r="E48" s="73" t="s">
        <v>253</v>
      </c>
      <c r="F48" s="198">
        <v>1</v>
      </c>
      <c r="G48" s="199">
        <f ca="1">SUMIF('tab z-2'!$C$6:$V$140,$C48,'tab z-2'!$H$6:$H$140)*F48</f>
        <v>3236.1624660011175</v>
      </c>
      <c r="H48" s="79"/>
      <c r="I48" s="200">
        <v>1</v>
      </c>
      <c r="J48" s="201">
        <f ca="1">SUMIF('tab z-2'!$C$6:$V$140,$C48,'tab z-2'!$J$6:$J$140)*I48</f>
        <v>0</v>
      </c>
      <c r="K48" s="82"/>
      <c r="L48" s="202">
        <v>1</v>
      </c>
      <c r="M48" s="203">
        <f ca="1">SUMIF('tab z-2'!$C$6:$V$140,$C48,'tab z-2'!$L$6:$L$140)*L48</f>
        <v>0</v>
      </c>
      <c r="N48" s="166"/>
      <c r="O48" s="216"/>
      <c r="P48" s="223">
        <f ca="1">SUMIF('tab z-2'!$C$6:$V$140,$C48,'tab z-2'!$N$6:$N$140)*O48</f>
        <v>0</v>
      </c>
      <c r="Q48" s="73"/>
      <c r="R48" s="198">
        <v>1</v>
      </c>
      <c r="S48" s="199">
        <f ca="1">SUMIF('tab z-2'!$C$6:$V$140,$C48,'tab z-2'!$T$6:$T$140)*R48</f>
        <v>0</v>
      </c>
      <c r="T48" s="172"/>
      <c r="U48" s="218"/>
      <c r="V48" s="227">
        <f ca="1">SUMIF('tab z-2'!$C$6:$V$140,$C48,'tab z-2'!$V$6:$V$140)*U48</f>
        <v>0</v>
      </c>
    </row>
    <row r="49" spans="1:22" s="1" customFormat="1">
      <c r="A49" s="328"/>
      <c r="B49" s="328"/>
      <c r="C49" s="119" t="s">
        <v>131</v>
      </c>
      <c r="D49" s="119" t="s">
        <v>132</v>
      </c>
      <c r="E49" s="73" t="s">
        <v>253</v>
      </c>
      <c r="F49" s="198">
        <v>1</v>
      </c>
      <c r="G49" s="199">
        <f ca="1">SUMIF('tab z-2'!$C$6:$V$140,$C49,'tab z-2'!$H$6:$H$140)*F49</f>
        <v>562.81086365236831</v>
      </c>
      <c r="H49" s="79"/>
      <c r="I49" s="200">
        <v>1</v>
      </c>
      <c r="J49" s="201">
        <f ca="1">SUMIF('tab z-2'!$C$6:$V$140,$C49,'tab z-2'!$J$6:$J$140)*I49</f>
        <v>0</v>
      </c>
      <c r="K49" s="82"/>
      <c r="L49" s="202">
        <v>1</v>
      </c>
      <c r="M49" s="203">
        <f ca="1">SUMIF('tab z-2'!$C$6:$V$140,$C49,'tab z-2'!$L$6:$L$140)*L49</f>
        <v>0</v>
      </c>
      <c r="N49" s="166"/>
      <c r="O49" s="216"/>
      <c r="P49" s="223">
        <f ca="1">SUMIF('tab z-2'!$C$6:$V$140,$C49,'tab z-2'!$N$6:$N$140)*O49</f>
        <v>0</v>
      </c>
      <c r="Q49" s="157"/>
      <c r="R49" s="206"/>
      <c r="S49" s="220">
        <f ca="1">SUMIF('tab z-2'!$C$6:$V$140,$C49,'tab z-2'!$T$6:$T$140)*R49</f>
        <v>0</v>
      </c>
      <c r="T49" s="172"/>
      <c r="U49" s="218"/>
      <c r="V49" s="227">
        <f ca="1">SUMIF('tab z-2'!$C$6:$V$140,$C49,'tab z-2'!$V$6:$V$140)*U49</f>
        <v>0</v>
      </c>
    </row>
    <row r="50" spans="1:22" s="1" customFormat="1">
      <c r="A50" s="328"/>
      <c r="B50" s="328"/>
      <c r="C50" s="210" t="s">
        <v>133</v>
      </c>
      <c r="D50" s="211" t="s">
        <v>134</v>
      </c>
      <c r="E50" s="157"/>
      <c r="F50" s="206"/>
      <c r="G50" s="207"/>
      <c r="H50" s="160"/>
      <c r="I50" s="212"/>
      <c r="J50" s="213"/>
      <c r="K50" s="82"/>
      <c r="L50" s="202">
        <v>1</v>
      </c>
      <c r="M50" s="203">
        <f ca="1">SUMIF('tab z-2'!$C$6:$V$140,$C50,'tab z-2'!$L$6:$L$140)*L50</f>
        <v>0</v>
      </c>
      <c r="N50" s="86"/>
      <c r="O50" s="204">
        <v>1</v>
      </c>
      <c r="P50" s="205">
        <f ca="1">SUMIF('tab z-2'!$C$6:$V$140,$C50,'tab z-2'!$N$6:$N$140)*O50</f>
        <v>0</v>
      </c>
      <c r="Q50" s="157"/>
      <c r="R50" s="206"/>
      <c r="S50" s="207"/>
      <c r="T50" s="172"/>
      <c r="U50" s="218"/>
      <c r="V50" s="227">
        <f ca="1">SUMIF('tab z-2'!$C$6:$V$140,$C50,'tab z-2'!$V$6:$V$140)*U50</f>
        <v>0</v>
      </c>
    </row>
    <row r="51" spans="1:22" s="1" customFormat="1">
      <c r="A51" s="328"/>
      <c r="B51" s="328"/>
      <c r="C51" s="228" t="s">
        <v>135</v>
      </c>
      <c r="D51" s="211" t="s">
        <v>136</v>
      </c>
      <c r="E51" s="157"/>
      <c r="F51" s="206"/>
      <c r="G51" s="207"/>
      <c r="H51" s="160"/>
      <c r="I51" s="212"/>
      <c r="J51" s="213"/>
      <c r="K51" s="163"/>
      <c r="L51" s="214"/>
      <c r="M51" s="215"/>
      <c r="N51" s="166"/>
      <c r="O51" s="216"/>
      <c r="P51" s="217"/>
      <c r="Q51" s="157"/>
      <c r="R51" s="206"/>
      <c r="S51" s="207"/>
      <c r="T51" s="172"/>
      <c r="U51" s="218"/>
      <c r="V51" s="219"/>
    </row>
    <row r="52" spans="1:22" s="1" customFormat="1" ht="22.5">
      <c r="A52" s="328"/>
      <c r="B52" s="328"/>
      <c r="C52" s="210" t="s">
        <v>137</v>
      </c>
      <c r="D52" s="211" t="s">
        <v>138</v>
      </c>
      <c r="E52" s="157"/>
      <c r="F52" s="206"/>
      <c r="G52" s="207"/>
      <c r="H52" s="160"/>
      <c r="I52" s="212"/>
      <c r="J52" s="213"/>
      <c r="K52" s="82"/>
      <c r="L52" s="202">
        <v>1</v>
      </c>
      <c r="M52" s="203">
        <f ca="1">SUMIF('tab z-2'!$C$6:$V$140,$C52,'tab z-2'!$L$6:$L$140)*L52</f>
        <v>0</v>
      </c>
      <c r="N52" s="86"/>
      <c r="O52" s="204">
        <v>1</v>
      </c>
      <c r="P52" s="205">
        <f ca="1">SUMIF('tab z-2'!$C$6:$V$140,$C52,'tab z-2'!$N$6:$N$140)*O52</f>
        <v>0</v>
      </c>
      <c r="Q52" s="157"/>
      <c r="R52" s="206"/>
      <c r="S52" s="207"/>
      <c r="T52" s="172"/>
      <c r="U52" s="218"/>
      <c r="V52" s="227">
        <f ca="1">SUMIF('tab z-2'!$C$6:$V$140,$C52,'tab z-2'!$V$6:$V$140)*U52</f>
        <v>0</v>
      </c>
    </row>
    <row r="53" spans="1:22" s="1" customFormat="1">
      <c r="A53" s="328"/>
      <c r="B53" s="328"/>
      <c r="C53" s="228" t="s">
        <v>139</v>
      </c>
      <c r="D53" s="211" t="s">
        <v>113</v>
      </c>
      <c r="E53" s="157"/>
      <c r="F53" s="206"/>
      <c r="G53" s="207"/>
      <c r="H53" s="160"/>
      <c r="I53" s="212"/>
      <c r="J53" s="213"/>
      <c r="K53" s="163"/>
      <c r="L53" s="214"/>
      <c r="M53" s="215"/>
      <c r="N53" s="166"/>
      <c r="O53" s="216"/>
      <c r="P53" s="217"/>
      <c r="Q53" s="157"/>
      <c r="R53" s="206"/>
      <c r="S53" s="207"/>
      <c r="T53" s="172"/>
      <c r="U53" s="218"/>
      <c r="V53" s="219"/>
    </row>
    <row r="54" spans="1:22" s="1" customFormat="1">
      <c r="A54" s="328"/>
      <c r="B54" s="328"/>
      <c r="C54" s="119" t="s">
        <v>140</v>
      </c>
      <c r="D54" s="119" t="s">
        <v>141</v>
      </c>
      <c r="E54" s="73" t="s">
        <v>253</v>
      </c>
      <c r="F54" s="198">
        <v>1</v>
      </c>
      <c r="G54" s="199">
        <f ca="1">SUMIF('tab z-2'!$C$6:$V$140,$C54,'tab z-2'!$H$6:$H$140)*F54</f>
        <v>281.40543182618416</v>
      </c>
      <c r="H54" s="79"/>
      <c r="I54" s="200">
        <v>1</v>
      </c>
      <c r="J54" s="201">
        <f ca="1">SUMIF('tab z-2'!$C$6:$V$140,$C54,'tab z-2'!$J$6:$J$140)*I54</f>
        <v>0</v>
      </c>
      <c r="K54" s="82"/>
      <c r="L54" s="202">
        <v>1</v>
      </c>
      <c r="M54" s="203">
        <f ca="1">SUMIF('tab z-2'!$C$6:$V$140,$C54,'tab z-2'!$L$6:$L$140)*L54</f>
        <v>0</v>
      </c>
      <c r="N54" s="86"/>
      <c r="O54" s="204">
        <v>1</v>
      </c>
      <c r="P54" s="205">
        <f ca="1">SUMIF('tab z-2'!$C$6:$V$140,$C54,'tab z-2'!$N$6:$N$140)*O54</f>
        <v>0</v>
      </c>
      <c r="Q54" s="73"/>
      <c r="R54" s="198">
        <v>1</v>
      </c>
      <c r="S54" s="199">
        <f ca="1">SUMIF('tab z-2'!$C$6:$V$140,$C54,'tab z-2'!$T$6:$T$140)*R54</f>
        <v>0</v>
      </c>
      <c r="T54" s="172"/>
      <c r="U54" s="218"/>
      <c r="V54" s="227">
        <f ca="1">SUMIF('tab z-2'!$C$6:$V$140,$C54,'tab z-2'!$V$6:$V$140)*U54</f>
        <v>0</v>
      </c>
    </row>
    <row r="55" spans="1:22" s="1" customFormat="1" ht="17.25">
      <c r="A55" s="328"/>
      <c r="B55" s="328"/>
      <c r="C55" s="210" t="s">
        <v>142</v>
      </c>
      <c r="D55" s="211" t="s">
        <v>248</v>
      </c>
      <c r="E55" s="157"/>
      <c r="F55" s="206"/>
      <c r="G55" s="207"/>
      <c r="H55" s="160"/>
      <c r="I55" s="212"/>
      <c r="J55" s="213"/>
      <c r="K55" s="163"/>
      <c r="L55" s="214"/>
      <c r="M55" s="215"/>
      <c r="N55" s="166"/>
      <c r="O55" s="216"/>
      <c r="P55" s="217"/>
      <c r="Q55" s="157"/>
      <c r="R55" s="206"/>
      <c r="S55" s="207"/>
      <c r="T55" s="172"/>
      <c r="U55" s="218"/>
      <c r="V55" s="219"/>
    </row>
    <row r="56" spans="1:22" s="1" customFormat="1">
      <c r="A56" s="328"/>
      <c r="B56" s="328"/>
      <c r="C56" s="119" t="s">
        <v>143</v>
      </c>
      <c r="D56" s="119" t="s">
        <v>101</v>
      </c>
      <c r="E56" s="73"/>
      <c r="F56" s="198">
        <v>1</v>
      </c>
      <c r="G56" s="199">
        <f ca="1">SUMIF('tab z-2'!$C$6:$V$140,$C56,'tab z-2'!$H$6:$H$140)*F56</f>
        <v>0</v>
      </c>
      <c r="H56" s="79"/>
      <c r="I56" s="200">
        <v>1</v>
      </c>
      <c r="J56" s="201">
        <f ca="1">SUMIF('tab z-2'!$C$6:$V$140,$C56,'tab z-2'!$J$6:$J$140)*I56</f>
        <v>0</v>
      </c>
      <c r="K56" s="82"/>
      <c r="L56" s="202">
        <v>1</v>
      </c>
      <c r="M56" s="203">
        <f ca="1">SUMIF('tab z-2'!$C$6:$V$140,$C56,'tab z-2'!$L$6:$L$140)*L56</f>
        <v>0</v>
      </c>
      <c r="N56" s="86"/>
      <c r="O56" s="204">
        <v>1</v>
      </c>
      <c r="P56" s="205">
        <f ca="1">SUMIF('tab z-2'!$C$6:$V$140,$C56,'tab z-2'!$N$6:$N$140)*O56</f>
        <v>0</v>
      </c>
      <c r="Q56" s="73"/>
      <c r="R56" s="198">
        <v>1</v>
      </c>
      <c r="S56" s="199">
        <f ca="1">SUMIF('tab z-2'!$C$6:$V$140,$C56,'tab z-2'!$T$6:$T$140)*R56</f>
        <v>0</v>
      </c>
      <c r="T56" s="172"/>
      <c r="U56" s="218"/>
      <c r="V56" s="227">
        <f ca="1">SUMIF('tab z-2'!$C$6:$V$140,$C56,'tab z-2'!$V$6:$V$140)*U56</f>
        <v>0</v>
      </c>
    </row>
    <row r="57" spans="1:22" s="1" customFormat="1">
      <c r="A57" s="328"/>
      <c r="B57" s="328"/>
      <c r="C57" s="119" t="s">
        <v>144</v>
      </c>
      <c r="D57" s="119" t="s">
        <v>103</v>
      </c>
      <c r="E57" s="73" t="s">
        <v>253</v>
      </c>
      <c r="F57" s="198">
        <v>1</v>
      </c>
      <c r="G57" s="199">
        <f ca="1">SUMIF('tab z-2'!$C$6:$V$140,$C57,'tab z-2'!$H$6:$H$140)*F57</f>
        <v>422.10814773927621</v>
      </c>
      <c r="H57" s="79"/>
      <c r="I57" s="200">
        <v>1</v>
      </c>
      <c r="J57" s="201">
        <f ca="1">SUMIF('tab z-2'!$C$6:$V$140,$C57,'tab z-2'!$J$6:$J$140)*I57</f>
        <v>0</v>
      </c>
      <c r="K57" s="82"/>
      <c r="L57" s="202">
        <v>1</v>
      </c>
      <c r="M57" s="203">
        <f ca="1">SUMIF('tab z-2'!$C$6:$V$140,$C57,'tab z-2'!$L$6:$L$140)*L57</f>
        <v>0</v>
      </c>
      <c r="N57" s="86"/>
      <c r="O57" s="204">
        <v>1</v>
      </c>
      <c r="P57" s="205">
        <f ca="1">SUMIF('tab z-2'!$C$6:$V$140,$C57,'tab z-2'!$N$6:$N$140)*O57</f>
        <v>0</v>
      </c>
      <c r="Q57" s="73"/>
      <c r="R57" s="198">
        <v>1</v>
      </c>
      <c r="S57" s="199">
        <f ca="1">SUMIF('tab z-2'!$C$6:$V$140,$C57,'tab z-2'!$T$6:$T$140)*R57</f>
        <v>0</v>
      </c>
      <c r="T57" s="172"/>
      <c r="U57" s="218"/>
      <c r="V57" s="227">
        <f ca="1">SUMIF('tab z-2'!$C$6:$V$140,$C57,'tab z-2'!$V$6:$V$140)*U57</f>
        <v>0</v>
      </c>
    </row>
    <row r="58" spans="1:22" s="1" customFormat="1">
      <c r="A58" s="328"/>
      <c r="B58" s="328"/>
      <c r="C58" s="119" t="s">
        <v>145</v>
      </c>
      <c r="D58" s="119" t="s">
        <v>105</v>
      </c>
      <c r="E58" s="73" t="s">
        <v>253</v>
      </c>
      <c r="F58" s="198">
        <v>1</v>
      </c>
      <c r="G58" s="199">
        <f ca="1">SUMIF('tab z-2'!$C$6:$V$140,$C58,'tab z-2'!$H$6:$H$140)*F58</f>
        <v>422.10814773927621</v>
      </c>
      <c r="H58" s="79"/>
      <c r="I58" s="200">
        <v>1</v>
      </c>
      <c r="J58" s="201">
        <f ca="1">SUMIF('tab z-2'!$C$6:$V$140,$C58,'tab z-2'!$J$6:$J$140)*I58</f>
        <v>0</v>
      </c>
      <c r="K58" s="82"/>
      <c r="L58" s="202">
        <v>1</v>
      </c>
      <c r="M58" s="203">
        <f ca="1">SUMIF('tab z-2'!$C$6:$V$140,$C58,'tab z-2'!$L$6:$L$140)*L58</f>
        <v>0</v>
      </c>
      <c r="N58" s="86"/>
      <c r="O58" s="204">
        <v>1</v>
      </c>
      <c r="P58" s="205">
        <f ca="1">SUMIF('tab z-2'!$C$6:$V$140,$C58,'tab z-2'!$N$6:$N$140)*O58</f>
        <v>0</v>
      </c>
      <c r="Q58" s="73"/>
      <c r="R58" s="198">
        <v>1</v>
      </c>
      <c r="S58" s="199">
        <f ca="1">SUMIF('tab z-2'!$C$6:$V$140,$C58,'tab z-2'!$T$6:$T$140)*R58</f>
        <v>0</v>
      </c>
      <c r="T58" s="172"/>
      <c r="U58" s="218"/>
      <c r="V58" s="227">
        <f ca="1">SUMIF('tab z-2'!$C$6:$V$140,$C58,'tab z-2'!$V$6:$V$140)*U58</f>
        <v>0</v>
      </c>
    </row>
    <row r="59" spans="1:22" s="1" customFormat="1">
      <c r="A59" s="328"/>
      <c r="B59" s="328"/>
      <c r="C59" s="119" t="s">
        <v>146</v>
      </c>
      <c r="D59" s="119" t="s">
        <v>107</v>
      </c>
      <c r="E59" s="73" t="s">
        <v>253</v>
      </c>
      <c r="F59" s="198">
        <v>1</v>
      </c>
      <c r="G59" s="199">
        <f ca="1">SUMIF('tab z-2'!$C$6:$V$140,$C59,'tab z-2'!$H$6:$H$140)*F59</f>
        <v>422.10814773927621</v>
      </c>
      <c r="H59" s="79"/>
      <c r="I59" s="200">
        <v>1</v>
      </c>
      <c r="J59" s="201">
        <f ca="1">SUMIF('tab z-2'!$C$6:$V$140,$C59,'tab z-2'!$J$6:$J$140)*I59</f>
        <v>0</v>
      </c>
      <c r="K59" s="82"/>
      <c r="L59" s="202">
        <v>1</v>
      </c>
      <c r="M59" s="203">
        <f ca="1">SUMIF('tab z-2'!$C$6:$V$140,$C59,'tab z-2'!$L$6:$L$140)*L59</f>
        <v>0</v>
      </c>
      <c r="N59" s="86"/>
      <c r="O59" s="204">
        <v>1</v>
      </c>
      <c r="P59" s="205">
        <f ca="1">SUMIF('tab z-2'!$C$6:$V$140,$C59,'tab z-2'!$N$6:$N$140)*O59</f>
        <v>0</v>
      </c>
      <c r="Q59" s="73"/>
      <c r="R59" s="198">
        <v>1</v>
      </c>
      <c r="S59" s="199">
        <f ca="1">SUMIF('tab z-2'!$C$6:$V$140,$C59,'tab z-2'!$T$6:$T$140)*R59</f>
        <v>0</v>
      </c>
      <c r="T59" s="172"/>
      <c r="U59" s="218"/>
      <c r="V59" s="227">
        <f ca="1">SUMIF('tab z-2'!$C$6:$V$140,$C59,'tab z-2'!$V$6:$V$140)*U59</f>
        <v>0</v>
      </c>
    </row>
    <row r="60" spans="1:22" s="1" customFormat="1">
      <c r="A60" s="328"/>
      <c r="B60" s="328"/>
      <c r="C60" s="119" t="s">
        <v>147</v>
      </c>
      <c r="D60" s="119" t="s">
        <v>327</v>
      </c>
      <c r="E60" s="73" t="s">
        <v>253</v>
      </c>
      <c r="F60" s="198">
        <v>1</v>
      </c>
      <c r="G60" s="199">
        <f ca="1">SUMIF('tab z-2'!$C$6:$V$140,$C60,'tab z-2'!$H$6:$H$140)*F60</f>
        <v>314.80354952391122</v>
      </c>
      <c r="H60" s="79"/>
      <c r="I60" s="200">
        <v>1</v>
      </c>
      <c r="J60" s="201">
        <f ca="1">SUMIF('tab z-2'!$C$6:$V$140,$C60,'tab z-2'!$J$6:$J$140)*I60</f>
        <v>0</v>
      </c>
      <c r="K60" s="82"/>
      <c r="L60" s="202">
        <v>1</v>
      </c>
      <c r="M60" s="203">
        <f ca="1">SUMIF('tab z-2'!$C$6:$V$140,$C60,'tab z-2'!$L$6:$L$140)*L60</f>
        <v>0</v>
      </c>
      <c r="N60" s="86"/>
      <c r="O60" s="204">
        <v>1</v>
      </c>
      <c r="P60" s="205">
        <f ca="1">SUMIF('tab z-2'!$C$6:$V$140,$C60,'tab z-2'!$N$6:$N$140)*O60</f>
        <v>0</v>
      </c>
      <c r="Q60" s="73"/>
      <c r="R60" s="198">
        <v>1</v>
      </c>
      <c r="S60" s="199">
        <f ca="1">SUMIF('tab z-2'!$C$6:$V$140,$C60,'tab z-2'!$T$6:$T$140)*R60</f>
        <v>0</v>
      </c>
      <c r="T60" s="172"/>
      <c r="U60" s="218"/>
      <c r="V60" s="227">
        <f ca="1">SUMIF('tab z-2'!$C$6:$V$140,$C60,'tab z-2'!$V$6:$V$140)*U60</f>
        <v>0</v>
      </c>
    </row>
    <row r="61" spans="1:22" s="1" customFormat="1">
      <c r="A61" s="328"/>
      <c r="B61" s="328"/>
      <c r="C61" s="119" t="s">
        <v>148</v>
      </c>
      <c r="D61" s="119" t="s">
        <v>149</v>
      </c>
      <c r="E61" s="206"/>
      <c r="F61" s="206"/>
      <c r="G61" s="220">
        <f ca="1">SUMIF('tab z-2'!$C$6:$V$140,$C61,'tab z-2'!$H$6:$H$140)*F61</f>
        <v>0</v>
      </c>
      <c r="H61" s="79"/>
      <c r="I61" s="200">
        <v>1</v>
      </c>
      <c r="J61" s="201">
        <f ca="1">SUMIF('tab z-2'!$C$6:$V$140,$C61,'tab z-2'!$J$6:$J$140)*I61</f>
        <v>0</v>
      </c>
      <c r="K61" s="214"/>
      <c r="L61" s="214"/>
      <c r="M61" s="222">
        <f ca="1">SUMIF('tab z-2'!$C$6:$V$140,$C61,'tab z-2'!$L$6:$L$140)*L61</f>
        <v>0</v>
      </c>
      <c r="N61" s="169"/>
      <c r="O61" s="168"/>
      <c r="P61" s="223">
        <f ca="1">SUMIF('tab z-2'!$C$6:$V$140,$C61,'tab z-2'!$N$6:$N$140)*O61</f>
        <v>0</v>
      </c>
      <c r="Q61" s="157"/>
      <c r="R61" s="206"/>
      <c r="S61" s="220">
        <f ca="1">SUMIF('tab z-2'!$C$6:$V$140,$C61,'tab z-2'!$T$6:$T$140)*R61</f>
        <v>0</v>
      </c>
      <c r="T61" s="172"/>
      <c r="U61" s="218"/>
      <c r="V61" s="227">
        <f ca="1">SUMIF('tab z-2'!$C$6:$V$140,$C61,'tab z-2'!$V$6:$V$140)*U61</f>
        <v>0</v>
      </c>
    </row>
    <row r="62" spans="1:22" s="1" customFormat="1" ht="22.5">
      <c r="A62" s="328"/>
      <c r="B62" s="328"/>
      <c r="C62" s="119" t="s">
        <v>150</v>
      </c>
      <c r="D62" s="119" t="s">
        <v>151</v>
      </c>
      <c r="E62" s="206"/>
      <c r="F62" s="206"/>
      <c r="G62" s="220">
        <f ca="1">SUMIF('tab z-2'!$C$6:$V$140,$C62,'tab z-2'!$H$6:$H$140)*F62</f>
        <v>0</v>
      </c>
      <c r="H62" s="79"/>
      <c r="I62" s="200">
        <v>1</v>
      </c>
      <c r="J62" s="201">
        <f ca="1">SUMIF('tab z-2'!$C$6:$V$140,$C62,'tab z-2'!$J$6:$J$140)*I62</f>
        <v>0</v>
      </c>
      <c r="K62" s="214"/>
      <c r="L62" s="214"/>
      <c r="M62" s="222">
        <f ca="1">SUMIF('tab z-2'!$C$6:$V$140,$C62,'tab z-2'!$L$6:$L$140)*L62</f>
        <v>0</v>
      </c>
      <c r="N62" s="169"/>
      <c r="O62" s="168"/>
      <c r="P62" s="223">
        <f ca="1">SUMIF('tab z-2'!$C$6:$V$140,$C62,'tab z-2'!$N$6:$N$140)*O62</f>
        <v>0</v>
      </c>
      <c r="Q62" s="157"/>
      <c r="R62" s="206"/>
      <c r="S62" s="220">
        <f ca="1">SUMIF('tab z-2'!$C$6:$V$140,$C62,'tab z-2'!$T$6:$T$140)*R62</f>
        <v>0</v>
      </c>
      <c r="T62" s="172"/>
      <c r="U62" s="218"/>
      <c r="V62" s="227">
        <f ca="1">SUMIF('tab z-2'!$C$6:$V$140,$C62,'tab z-2'!$V$6:$V$140)*U62</f>
        <v>0</v>
      </c>
    </row>
    <row r="63" spans="1:22" s="1" customFormat="1" ht="22.5">
      <c r="A63" s="328"/>
      <c r="B63" s="328"/>
      <c r="C63" s="210" t="s">
        <v>152</v>
      </c>
      <c r="D63" s="211" t="s">
        <v>153</v>
      </c>
      <c r="E63" s="157"/>
      <c r="F63" s="206"/>
      <c r="G63" s="207"/>
      <c r="H63" s="160"/>
      <c r="I63" s="212"/>
      <c r="J63" s="213"/>
      <c r="K63" s="214"/>
      <c r="L63" s="214"/>
      <c r="M63" s="222">
        <f ca="1">SUMIF('tab z-2'!$C$6:$V$140,$C63,'tab z-2'!$L$6:$L$140)*L63</f>
        <v>0</v>
      </c>
      <c r="N63" s="169"/>
      <c r="O63" s="168"/>
      <c r="P63" s="223">
        <f ca="1">SUMIF('tab z-2'!$C$6:$V$140,$C63,'tab z-2'!$N$6:$N$140)*O63</f>
        <v>0</v>
      </c>
      <c r="Q63" s="157"/>
      <c r="R63" s="206"/>
      <c r="S63" s="207"/>
      <c r="T63" s="172"/>
      <c r="U63" s="218"/>
      <c r="V63" s="227">
        <f ca="1">SUMIF('tab z-2'!$C$6:$V$140,$C63,'tab z-2'!$V$6:$V$140)*U63</f>
        <v>0</v>
      </c>
    </row>
    <row r="64" spans="1:22" s="1" customFormat="1" ht="22.5">
      <c r="A64" s="328"/>
      <c r="B64" s="328"/>
      <c r="C64" s="210" t="s">
        <v>154</v>
      </c>
      <c r="D64" s="211" t="s">
        <v>155</v>
      </c>
      <c r="E64" s="157"/>
      <c r="F64" s="206"/>
      <c r="G64" s="207"/>
      <c r="H64" s="160"/>
      <c r="I64" s="212"/>
      <c r="J64" s="213"/>
      <c r="K64" s="82"/>
      <c r="L64" s="202">
        <v>1</v>
      </c>
      <c r="M64" s="203">
        <f ca="1">SUMIF('tab z-2'!$C$6:$V$140,$C64,'tab z-2'!$L$6:$L$140)*L64</f>
        <v>0</v>
      </c>
      <c r="N64" s="86"/>
      <c r="O64" s="204">
        <v>1</v>
      </c>
      <c r="P64" s="205">
        <f ca="1">SUMIF('tab z-2'!$C$6:$V$140,$C64,'tab z-2'!$N$6:$N$140)*O64</f>
        <v>0</v>
      </c>
      <c r="Q64" s="157"/>
      <c r="R64" s="206"/>
      <c r="S64" s="207"/>
      <c r="T64" s="172"/>
      <c r="U64" s="218"/>
      <c r="V64" s="227">
        <f ca="1">SUMIF('tab z-2'!$C$6:$V$140,$C64,'tab z-2'!$V$6:$V$140)*U64</f>
        <v>0</v>
      </c>
    </row>
    <row r="65" spans="1:22" s="1" customFormat="1">
      <c r="A65" s="328"/>
      <c r="B65" s="328"/>
      <c r="C65" s="210" t="s">
        <v>156</v>
      </c>
      <c r="D65" s="211" t="s">
        <v>157</v>
      </c>
      <c r="E65" s="157"/>
      <c r="F65" s="206"/>
      <c r="G65" s="207"/>
      <c r="H65" s="160"/>
      <c r="I65" s="212"/>
      <c r="J65" s="213"/>
      <c r="K65" s="82"/>
      <c r="L65" s="202"/>
      <c r="M65" s="203">
        <f ca="1">SUMIF('tab z-2'!$C$6:$V$140,$C65,'tab z-2'!$L$6:$L$140)*L65</f>
        <v>0</v>
      </c>
      <c r="N65" s="169"/>
      <c r="O65" s="168"/>
      <c r="P65" s="223">
        <f ca="1">SUMIF('tab z-2'!$C$6:$V$140,$C65,'tab z-2'!$N$6:$N$140)*O65</f>
        <v>0</v>
      </c>
      <c r="Q65" s="157"/>
      <c r="R65" s="206"/>
      <c r="S65" s="207"/>
      <c r="T65" s="172"/>
      <c r="U65" s="218"/>
      <c r="V65" s="227">
        <f ca="1">SUMIF('tab z-2'!$C$6:$V$140,$C65,'tab z-2'!$V$6:$V$140)*U65</f>
        <v>0</v>
      </c>
    </row>
    <row r="66" spans="1:22" s="1" customFormat="1">
      <c r="A66" s="328"/>
      <c r="B66" s="328"/>
      <c r="C66" s="119" t="s">
        <v>158</v>
      </c>
      <c r="D66" s="119" t="s">
        <v>159</v>
      </c>
      <c r="E66" s="73" t="s">
        <v>253</v>
      </c>
      <c r="F66" s="198">
        <v>1</v>
      </c>
      <c r="G66" s="199">
        <f ca="1">SUMIF('tab z-2'!$C$6:$V$140,$C66,'tab z-2'!$H$6:$H$140)*F66</f>
        <v>281.40543182618416</v>
      </c>
      <c r="H66" s="79"/>
      <c r="I66" s="200">
        <v>1</v>
      </c>
      <c r="J66" s="201">
        <f ca="1">SUMIF('tab z-2'!$C$6:$V$140,$C66,'tab z-2'!$J$6:$J$140)*I66</f>
        <v>0</v>
      </c>
      <c r="K66" s="82"/>
      <c r="L66" s="202">
        <v>1</v>
      </c>
      <c r="M66" s="203">
        <f ca="1">SUMIF('tab z-2'!$C$6:$V$140,$C66,'tab z-2'!$L$6:$L$140)*L66</f>
        <v>0</v>
      </c>
      <c r="N66" s="86"/>
      <c r="O66" s="204">
        <v>1</v>
      </c>
      <c r="P66" s="205">
        <f ca="1">SUMIF('tab z-2'!$C$6:$V$140,$C66,'tab z-2'!$N$6:$N$140)*O66</f>
        <v>0</v>
      </c>
      <c r="Q66" s="73"/>
      <c r="R66" s="198">
        <v>1</v>
      </c>
      <c r="S66" s="199">
        <f ca="1">SUMIF('tab z-2'!$C$6:$V$140,$C66,'tab z-2'!$T$6:$T$140)*R66</f>
        <v>0</v>
      </c>
      <c r="T66" s="172"/>
      <c r="U66" s="218"/>
      <c r="V66" s="227">
        <f ca="1">SUMIF('tab z-2'!$C$6:$V$140,$C66,'tab z-2'!$V$6:$V$140)*U66</f>
        <v>0</v>
      </c>
    </row>
    <row r="67" spans="1:22" s="1" customFormat="1" ht="15" customHeight="1">
      <c r="A67" s="328"/>
      <c r="B67" s="328"/>
      <c r="C67" s="210" t="s">
        <v>160</v>
      </c>
      <c r="D67" s="211" t="s">
        <v>161</v>
      </c>
      <c r="E67" s="157"/>
      <c r="F67" s="206"/>
      <c r="G67" s="207"/>
      <c r="H67" s="160"/>
      <c r="I67" s="212"/>
      <c r="J67" s="213"/>
      <c r="K67" s="82"/>
      <c r="L67" s="202">
        <v>1</v>
      </c>
      <c r="M67" s="203">
        <f ca="1">SUMIF('tab z-2'!$C$6:$V$140,$C67,'tab z-2'!$L$6:$L$140)*L67</f>
        <v>0</v>
      </c>
      <c r="N67" s="86"/>
      <c r="O67" s="204">
        <v>1</v>
      </c>
      <c r="P67" s="205">
        <f ca="1">SUMIF('tab z-2'!$C$6:$V$140,$C67,'tab z-2'!$N$6:$N$140)*O67</f>
        <v>0</v>
      </c>
      <c r="Q67" s="157"/>
      <c r="R67" s="206"/>
      <c r="S67" s="207"/>
      <c r="T67" s="172"/>
      <c r="U67" s="218"/>
      <c r="V67" s="227">
        <f ca="1">SUMIF('tab z-2'!$C$6:$V$140,$C67,'tab z-2'!$V$6:$V$140)*U67</f>
        <v>0</v>
      </c>
    </row>
    <row r="68" spans="1:22" s="1" customFormat="1">
      <c r="A68" s="328"/>
      <c r="B68" s="328"/>
      <c r="C68" s="210" t="s">
        <v>162</v>
      </c>
      <c r="D68" s="211" t="s">
        <v>163</v>
      </c>
      <c r="E68" s="157"/>
      <c r="F68" s="206"/>
      <c r="G68" s="207"/>
      <c r="H68" s="160"/>
      <c r="I68" s="212"/>
      <c r="J68" s="213"/>
      <c r="K68" s="163"/>
      <c r="L68" s="214"/>
      <c r="M68" s="215"/>
      <c r="N68" s="166"/>
      <c r="O68" s="216"/>
      <c r="P68" s="217"/>
      <c r="Q68" s="157"/>
      <c r="R68" s="206"/>
      <c r="S68" s="207"/>
      <c r="T68" s="172"/>
      <c r="U68" s="218"/>
      <c r="V68" s="219"/>
    </row>
    <row r="69" spans="1:22" s="1" customFormat="1" ht="22.5">
      <c r="A69" s="328"/>
      <c r="B69" s="328"/>
      <c r="C69" s="210" t="s">
        <v>164</v>
      </c>
      <c r="D69" s="211" t="s">
        <v>242</v>
      </c>
      <c r="E69" s="157"/>
      <c r="F69" s="206"/>
      <c r="G69" s="207"/>
      <c r="H69" s="160"/>
      <c r="I69" s="212"/>
      <c r="J69" s="213"/>
      <c r="K69" s="163"/>
      <c r="L69" s="214"/>
      <c r="M69" s="215"/>
      <c r="N69" s="166"/>
      <c r="O69" s="216"/>
      <c r="P69" s="217"/>
      <c r="Q69" s="157"/>
      <c r="R69" s="206"/>
      <c r="S69" s="207"/>
      <c r="T69" s="172"/>
      <c r="U69" s="218"/>
      <c r="V69" s="219"/>
    </row>
    <row r="70" spans="1:22" s="1" customFormat="1" ht="22.5">
      <c r="A70" s="328"/>
      <c r="B70" s="328"/>
      <c r="C70" s="210" t="s">
        <v>165</v>
      </c>
      <c r="D70" s="211" t="s">
        <v>166</v>
      </c>
      <c r="E70" s="157"/>
      <c r="F70" s="206"/>
      <c r="G70" s="207"/>
      <c r="H70" s="79"/>
      <c r="I70" s="200">
        <v>1</v>
      </c>
      <c r="J70" s="201">
        <f ca="1">SUMIF('tab z-2'!$C$6:$V$140,$C70,'tab z-2'!$J$6:$J$140)*I70</f>
        <v>0</v>
      </c>
      <c r="K70" s="82"/>
      <c r="L70" s="202">
        <v>1</v>
      </c>
      <c r="M70" s="203">
        <f ca="1">SUMIF('tab z-2'!$C$6:$V$140,$C70,'tab z-2'!$L$6:$L$140)*L70</f>
        <v>0</v>
      </c>
      <c r="N70" s="86"/>
      <c r="O70" s="204">
        <v>1</v>
      </c>
      <c r="P70" s="205">
        <f ca="1">SUMIF('tab z-2'!$C$6:$V$140,$C70,'tab z-2'!$N$6:$N$140)*O70</f>
        <v>0</v>
      </c>
      <c r="Q70" s="157"/>
      <c r="R70" s="206"/>
      <c r="S70" s="207"/>
      <c r="T70" s="172"/>
      <c r="U70" s="218"/>
      <c r="V70" s="227">
        <f ca="1">SUMIF('tab z-2'!$C$6:$V$140,$C70,'tab z-2'!$V$6:$V$140)*U70</f>
        <v>0</v>
      </c>
    </row>
    <row r="71" spans="1:22" s="1" customFormat="1" ht="22.5">
      <c r="A71" s="328"/>
      <c r="B71" s="328"/>
      <c r="C71" s="210" t="s">
        <v>167</v>
      </c>
      <c r="D71" s="211" t="s">
        <v>321</v>
      </c>
      <c r="E71" s="157"/>
      <c r="F71" s="206"/>
      <c r="G71" s="207"/>
      <c r="H71" s="79"/>
      <c r="I71" s="200">
        <v>1</v>
      </c>
      <c r="J71" s="201">
        <f ca="1">SUMIF('tab z-2'!$C$6:$V$140,$C71,'tab z-2'!$J$6:$J$140)*I71</f>
        <v>0</v>
      </c>
      <c r="K71" s="82"/>
      <c r="L71" s="202">
        <v>1</v>
      </c>
      <c r="M71" s="203">
        <f ca="1">SUMIF('tab z-2'!$C$6:$V$140,$C71,'tab z-2'!$L$6:$L$140)*L71</f>
        <v>0</v>
      </c>
      <c r="N71" s="86"/>
      <c r="O71" s="204">
        <v>1</v>
      </c>
      <c r="P71" s="205">
        <f ca="1">SUMIF('tab z-2'!$C$6:$V$140,$C71,'tab z-2'!$N$6:$N$140)*O71</f>
        <v>0</v>
      </c>
      <c r="Q71" s="157"/>
      <c r="R71" s="206"/>
      <c r="S71" s="207"/>
      <c r="T71" s="172"/>
      <c r="U71" s="218"/>
      <c r="V71" s="227">
        <f ca="1">SUMIF('tab z-2'!$C$6:$V$140,$C71,'tab z-2'!$V$6:$V$140)*U71</f>
        <v>0</v>
      </c>
    </row>
    <row r="72" spans="1:22" s="1" customFormat="1">
      <c r="A72" s="328"/>
      <c r="B72" s="328"/>
      <c r="C72" s="210" t="s">
        <v>168</v>
      </c>
      <c r="D72" s="211" t="s">
        <v>122</v>
      </c>
      <c r="E72" s="157"/>
      <c r="F72" s="206"/>
      <c r="G72" s="207"/>
      <c r="H72" s="160"/>
      <c r="I72" s="212"/>
      <c r="J72" s="213"/>
      <c r="K72" s="163"/>
      <c r="L72" s="214"/>
      <c r="M72" s="215"/>
      <c r="N72" s="166"/>
      <c r="O72" s="216"/>
      <c r="P72" s="217"/>
      <c r="Q72" s="157"/>
      <c r="R72" s="206"/>
      <c r="S72" s="207"/>
      <c r="T72" s="172"/>
      <c r="U72" s="218"/>
      <c r="V72" s="219"/>
    </row>
    <row r="73" spans="1:22" s="1" customFormat="1">
      <c r="A73" s="328"/>
      <c r="B73" s="328"/>
      <c r="C73" s="210" t="s">
        <v>169</v>
      </c>
      <c r="D73" s="211" t="s">
        <v>170</v>
      </c>
      <c r="E73" s="157"/>
      <c r="F73" s="206"/>
      <c r="G73" s="207"/>
      <c r="H73" s="160"/>
      <c r="I73" s="212"/>
      <c r="J73" s="213"/>
      <c r="K73" s="163"/>
      <c r="L73" s="214"/>
      <c r="M73" s="215"/>
      <c r="N73" s="166"/>
      <c r="O73" s="216"/>
      <c r="P73" s="217"/>
      <c r="Q73" s="157"/>
      <c r="R73" s="206"/>
      <c r="S73" s="207"/>
      <c r="T73" s="172"/>
      <c r="U73" s="218"/>
      <c r="V73" s="219"/>
    </row>
    <row r="74" spans="1:22" s="1" customFormat="1">
      <c r="A74" s="326"/>
      <c r="B74" s="326"/>
      <c r="C74" s="210" t="s">
        <v>171</v>
      </c>
      <c r="D74" s="211" t="s">
        <v>172</v>
      </c>
      <c r="E74" s="157"/>
      <c r="F74" s="206"/>
      <c r="G74" s="207"/>
      <c r="H74" s="160"/>
      <c r="I74" s="212"/>
      <c r="J74" s="213"/>
      <c r="K74" s="163"/>
      <c r="L74" s="214"/>
      <c r="M74" s="215"/>
      <c r="N74" s="166"/>
      <c r="O74" s="216"/>
      <c r="P74" s="217"/>
      <c r="Q74" s="157"/>
      <c r="R74" s="206"/>
      <c r="S74" s="207"/>
      <c r="T74" s="172"/>
      <c r="U74" s="218"/>
      <c r="V74" s="219"/>
    </row>
    <row r="75" spans="1:22" s="1" customFormat="1" ht="15" customHeight="1">
      <c r="A75" s="325" t="s">
        <v>90</v>
      </c>
      <c r="B75" s="325" t="s">
        <v>173</v>
      </c>
      <c r="C75" s="119" t="s">
        <v>174</v>
      </c>
      <c r="D75" s="119" t="s">
        <v>175</v>
      </c>
      <c r="E75" s="73" t="s">
        <v>253</v>
      </c>
      <c r="F75" s="198">
        <v>1</v>
      </c>
      <c r="G75" s="199">
        <f ca="1">SUMIF('tab z-2'!$C$6:$V$140,$C75,'tab z-2'!$H$6:$H$140)*F75</f>
        <v>984.91901139164463</v>
      </c>
      <c r="H75" s="79"/>
      <c r="I75" s="200">
        <v>1</v>
      </c>
      <c r="J75" s="201">
        <f ca="1">SUMIF('tab z-2'!$C$6:$V$140,$C75,'tab z-2'!$J$6:$J$140)*I75</f>
        <v>0</v>
      </c>
      <c r="K75" s="82"/>
      <c r="L75" s="202">
        <v>1</v>
      </c>
      <c r="M75" s="203">
        <f ca="1">SUMIF('tab z-2'!$C$6:$V$140,$C75,'tab z-2'!$L$6:$L$140)*L75</f>
        <v>0</v>
      </c>
      <c r="N75" s="86"/>
      <c r="O75" s="204">
        <v>1</v>
      </c>
      <c r="P75" s="205">
        <f ca="1">SUMIF('tab z-2'!$C$6:$V$140,$C75,'tab z-2'!$N$6:$N$140)*O75</f>
        <v>0</v>
      </c>
      <c r="Q75" s="73"/>
      <c r="R75" s="198">
        <v>1</v>
      </c>
      <c r="S75" s="199">
        <f ca="1">SUMIF('tab z-2'!$C$6:$V$140,$C75,'tab z-2'!$T$6:$T$140)*R75</f>
        <v>0</v>
      </c>
      <c r="T75" s="172"/>
      <c r="U75" s="218"/>
      <c r="V75" s="227">
        <f ca="1">SUMIF('tab z-2'!$C$6:$V$140,$C75,'tab z-2'!$V$6:$V$140)*U75</f>
        <v>0</v>
      </c>
    </row>
    <row r="76" spans="1:22" s="1" customFormat="1">
      <c r="A76" s="328"/>
      <c r="B76" s="328"/>
      <c r="C76" s="119" t="s">
        <v>176</v>
      </c>
      <c r="D76" s="119" t="s">
        <v>177</v>
      </c>
      <c r="E76" s="73" t="s">
        <v>253</v>
      </c>
      <c r="F76" s="198">
        <v>1</v>
      </c>
      <c r="G76" s="199">
        <f ca="1">SUMIF('tab z-2'!$C$6:$V$140,$C76,'tab z-2'!$H$6:$H$140)*F76</f>
        <v>1829.1353068701969</v>
      </c>
      <c r="H76" s="79"/>
      <c r="I76" s="200">
        <v>1</v>
      </c>
      <c r="J76" s="201">
        <f ca="1">SUMIF('tab z-2'!$C$6:$V$140,$C76,'tab z-2'!$J$6:$J$140)*I76</f>
        <v>0</v>
      </c>
      <c r="K76" s="82"/>
      <c r="L76" s="202">
        <v>1</v>
      </c>
      <c r="M76" s="203">
        <f ca="1">SUMIF('tab z-2'!$C$6:$V$140,$C76,'tab z-2'!$L$6:$L$140)*L76</f>
        <v>0</v>
      </c>
      <c r="N76" s="86"/>
      <c r="O76" s="204">
        <v>1</v>
      </c>
      <c r="P76" s="205">
        <f ca="1">SUMIF('tab z-2'!$C$6:$V$140,$C76,'tab z-2'!$N$6:$N$140)*O76</f>
        <v>0</v>
      </c>
      <c r="Q76" s="73"/>
      <c r="R76" s="198">
        <v>1</v>
      </c>
      <c r="S76" s="199">
        <f ca="1">SUMIF('tab z-2'!$C$6:$V$140,$C76,'tab z-2'!$T$6:$T$140)*R76</f>
        <v>0</v>
      </c>
      <c r="T76" s="172"/>
      <c r="U76" s="218"/>
      <c r="V76" s="227">
        <f ca="1">SUMIF('tab z-2'!$C$6:$V$140,$C76,'tab z-2'!$V$6:$V$140)*U76</f>
        <v>0</v>
      </c>
    </row>
    <row r="77" spans="1:22" s="1" customFormat="1" ht="33.75">
      <c r="A77" s="328"/>
      <c r="B77" s="328"/>
      <c r="C77" s="119" t="s">
        <v>178</v>
      </c>
      <c r="D77" s="119" t="s">
        <v>179</v>
      </c>
      <c r="E77" s="73" t="s">
        <v>253</v>
      </c>
      <c r="F77" s="198">
        <v>1</v>
      </c>
      <c r="G77" s="199">
        <f ca="1">SUMIF('tab z-2'!$C$6:$V$140,$C77,'tab z-2'!$H$6:$H$140)*F77</f>
        <v>562.81086365236831</v>
      </c>
      <c r="H77" s="79"/>
      <c r="I77" s="200">
        <v>1</v>
      </c>
      <c r="J77" s="201">
        <f ca="1">SUMIF('tab z-2'!$C$6:$V$140,$C77,'tab z-2'!$J$6:$J$140)*I77</f>
        <v>0</v>
      </c>
      <c r="K77" s="82"/>
      <c r="L77" s="202">
        <v>1</v>
      </c>
      <c r="M77" s="203">
        <f ca="1">SUMIF('tab z-2'!$C$6:$V$140,$C77,'tab z-2'!$L$6:$L$140)*L77</f>
        <v>0</v>
      </c>
      <c r="N77" s="86"/>
      <c r="O77" s="204">
        <v>1</v>
      </c>
      <c r="P77" s="205">
        <f ca="1">SUMIF('tab z-2'!$C$6:$V$140,$C77,'tab z-2'!$N$6:$N$140)*O77</f>
        <v>0</v>
      </c>
      <c r="Q77" s="73"/>
      <c r="R77" s="198">
        <v>1</v>
      </c>
      <c r="S77" s="199">
        <f ca="1">SUMIF('tab z-2'!$C$6:$V$140,$C77,'tab z-2'!$T$6:$T$140)*R77</f>
        <v>0</v>
      </c>
      <c r="T77" s="172"/>
      <c r="U77" s="218"/>
      <c r="V77" s="227">
        <f ca="1">SUMIF('tab z-2'!$C$6:$V$140,$C77,'tab z-2'!$V$6:$V$140)*U77</f>
        <v>0</v>
      </c>
    </row>
    <row r="78" spans="1:22" s="1" customFormat="1">
      <c r="A78" s="328"/>
      <c r="B78" s="328"/>
      <c r="C78" s="119" t="s">
        <v>180</v>
      </c>
      <c r="D78" s="119" t="s">
        <v>181</v>
      </c>
      <c r="E78" s="73" t="s">
        <v>253</v>
      </c>
      <c r="F78" s="198">
        <v>1</v>
      </c>
      <c r="G78" s="199">
        <f ca="1">SUMIF('tab z-2'!$C$6:$V$140,$C78,'tab z-2'!$H$6:$H$140)*F78</f>
        <v>281.40543182618416</v>
      </c>
      <c r="H78" s="79"/>
      <c r="I78" s="200">
        <v>1</v>
      </c>
      <c r="J78" s="201">
        <f ca="1">SUMIF('tab z-2'!$C$6:$V$140,$C78,'tab z-2'!$J$6:$J$140)*I78</f>
        <v>0</v>
      </c>
      <c r="K78" s="82"/>
      <c r="L78" s="202">
        <v>1</v>
      </c>
      <c r="M78" s="203">
        <f ca="1">SUMIF('tab z-2'!$C$6:$V$140,$C78,'tab z-2'!$L$6:$L$140)*L78</f>
        <v>0</v>
      </c>
      <c r="N78" s="86"/>
      <c r="O78" s="204">
        <v>1</v>
      </c>
      <c r="P78" s="205">
        <f ca="1">SUMIF('tab z-2'!$C$6:$V$140,$C78,'tab z-2'!$N$6:$N$140)*O78</f>
        <v>0</v>
      </c>
      <c r="Q78" s="73"/>
      <c r="R78" s="198">
        <v>1</v>
      </c>
      <c r="S78" s="199">
        <f ca="1">SUMIF('tab z-2'!$C$6:$V$140,$C78,'tab z-2'!$T$6:$T$140)*R78</f>
        <v>0</v>
      </c>
      <c r="T78" s="172"/>
      <c r="U78" s="218"/>
      <c r="V78" s="227">
        <f ca="1">SUMIF('tab z-2'!$C$6:$V$140,$C78,'tab z-2'!$V$6:$V$140)*U78</f>
        <v>0</v>
      </c>
    </row>
    <row r="79" spans="1:22" s="1" customFormat="1">
      <c r="A79" s="328"/>
      <c r="B79" s="328"/>
      <c r="C79" s="210" t="s">
        <v>182</v>
      </c>
      <c r="D79" s="211" t="s">
        <v>183</v>
      </c>
      <c r="E79" s="157"/>
      <c r="F79" s="206"/>
      <c r="G79" s="207"/>
      <c r="H79" s="160"/>
      <c r="I79" s="212"/>
      <c r="J79" s="213"/>
      <c r="K79" s="163"/>
      <c r="L79" s="214"/>
      <c r="M79" s="215"/>
      <c r="N79" s="166"/>
      <c r="O79" s="216"/>
      <c r="P79" s="217"/>
      <c r="Q79" s="157"/>
      <c r="R79" s="206"/>
      <c r="S79" s="207"/>
      <c r="T79" s="172"/>
      <c r="U79" s="218"/>
      <c r="V79" s="219"/>
    </row>
    <row r="80" spans="1:22" s="1" customFormat="1" ht="22.5">
      <c r="A80" s="328"/>
      <c r="B80" s="328"/>
      <c r="C80" s="119" t="s">
        <v>184</v>
      </c>
      <c r="D80" s="119" t="s">
        <v>155</v>
      </c>
      <c r="E80" s="73" t="s">
        <v>253</v>
      </c>
      <c r="F80" s="198">
        <v>1</v>
      </c>
      <c r="G80" s="199">
        <f ca="1">SUMIF('tab z-2'!$C$6:$V$140,$C80,'tab z-2'!$H$6:$H$140)*F80</f>
        <v>422.10814773927621</v>
      </c>
      <c r="H80" s="79"/>
      <c r="I80" s="200">
        <v>1</v>
      </c>
      <c r="J80" s="201">
        <f ca="1">SUMIF('tab z-2'!$C$6:$V$140,$C80,'tab z-2'!$J$6:$J$140)*I80</f>
        <v>0</v>
      </c>
      <c r="K80" s="82"/>
      <c r="L80" s="202">
        <v>1</v>
      </c>
      <c r="M80" s="203">
        <f ca="1">SUMIF('tab z-2'!$C$6:$V$140,$C80,'tab z-2'!$L$6:$L$140)*L80</f>
        <v>0</v>
      </c>
      <c r="N80" s="86"/>
      <c r="O80" s="204">
        <v>1</v>
      </c>
      <c r="P80" s="205">
        <f ca="1">SUMIF('tab z-2'!$C$6:$V$140,$C80,'tab z-2'!$N$6:$N$140)*O80</f>
        <v>0</v>
      </c>
      <c r="Q80" s="73"/>
      <c r="R80" s="198">
        <v>1</v>
      </c>
      <c r="S80" s="199">
        <f ca="1">SUMIF('tab z-2'!$C$6:$V$140,$C80,'tab z-2'!$T$6:$T$140)*R80</f>
        <v>0</v>
      </c>
      <c r="T80" s="172"/>
      <c r="U80" s="218"/>
      <c r="V80" s="227">
        <f ca="1">SUMIF('tab z-2'!$C$6:$V$140,$C80,'tab z-2'!$V$6:$V$140)*U80</f>
        <v>0</v>
      </c>
    </row>
    <row r="81" spans="1:22" s="1" customFormat="1">
      <c r="A81" s="328"/>
      <c r="B81" s="328"/>
      <c r="C81" s="119" t="s">
        <v>185</v>
      </c>
      <c r="D81" s="119" t="s">
        <v>186</v>
      </c>
      <c r="E81" s="73" t="s">
        <v>253</v>
      </c>
      <c r="F81" s="198">
        <v>1</v>
      </c>
      <c r="G81" s="199">
        <f ca="1">SUMIF('tab z-2'!$C$6:$V$140,$C81,'tab z-2'!$H$6:$H$140)*F81</f>
        <v>1407.0271591309208</v>
      </c>
      <c r="H81" s="79"/>
      <c r="I81" s="200">
        <v>1</v>
      </c>
      <c r="J81" s="201">
        <f ca="1">SUMIF('tab z-2'!$C$6:$V$140,$C81,'tab z-2'!$J$6:$J$140)*I81</f>
        <v>0</v>
      </c>
      <c r="K81" s="82"/>
      <c r="L81" s="202">
        <v>1</v>
      </c>
      <c r="M81" s="203">
        <f ca="1">SUMIF('tab z-2'!$C$6:$V$140,$C81,'tab z-2'!$L$6:$L$140)*L81</f>
        <v>0</v>
      </c>
      <c r="N81" s="86"/>
      <c r="O81" s="204">
        <v>1</v>
      </c>
      <c r="P81" s="205">
        <f ca="1">SUMIF('tab z-2'!$C$6:$V$140,$C81,'tab z-2'!$N$6:$N$140)*O81</f>
        <v>0</v>
      </c>
      <c r="Q81" s="73"/>
      <c r="R81" s="198">
        <v>1</v>
      </c>
      <c r="S81" s="199">
        <f ca="1">SUMIF('tab z-2'!$C$6:$V$140,$C81,'tab z-2'!$T$6:$T$140)*R81</f>
        <v>0</v>
      </c>
      <c r="T81" s="172"/>
      <c r="U81" s="218"/>
      <c r="V81" s="227">
        <f ca="1">SUMIF('tab z-2'!$C$6:$V$140,$C81,'tab z-2'!$V$6:$V$140)*U81</f>
        <v>0</v>
      </c>
    </row>
    <row r="82" spans="1:22" s="1" customFormat="1" ht="22.5">
      <c r="A82" s="328"/>
      <c r="B82" s="328"/>
      <c r="C82" s="210" t="s">
        <v>187</v>
      </c>
      <c r="D82" s="211" t="s">
        <v>188</v>
      </c>
      <c r="E82" s="157"/>
      <c r="F82" s="206"/>
      <c r="G82" s="207"/>
      <c r="H82" s="160"/>
      <c r="I82" s="212"/>
      <c r="J82" s="213"/>
      <c r="K82" s="163"/>
      <c r="L82" s="214"/>
      <c r="M82" s="215"/>
      <c r="N82" s="166"/>
      <c r="O82" s="216"/>
      <c r="P82" s="217"/>
      <c r="Q82" s="157"/>
      <c r="R82" s="206"/>
      <c r="S82" s="207"/>
      <c r="T82" s="172"/>
      <c r="U82" s="218"/>
      <c r="V82" s="219"/>
    </row>
    <row r="83" spans="1:22" s="1" customFormat="1">
      <c r="A83" s="328"/>
      <c r="B83" s="328"/>
      <c r="C83" s="210" t="s">
        <v>189</v>
      </c>
      <c r="D83" s="211" t="s">
        <v>190</v>
      </c>
      <c r="E83" s="157"/>
      <c r="F83" s="206"/>
      <c r="G83" s="207"/>
      <c r="H83" s="160"/>
      <c r="I83" s="212"/>
      <c r="J83" s="213"/>
      <c r="K83" s="163"/>
      <c r="L83" s="214"/>
      <c r="M83" s="215"/>
      <c r="N83" s="166"/>
      <c r="O83" s="216"/>
      <c r="P83" s="217"/>
      <c r="Q83" s="157"/>
      <c r="R83" s="206"/>
      <c r="S83" s="207"/>
      <c r="T83" s="172"/>
      <c r="U83" s="218"/>
      <c r="V83" s="219"/>
    </row>
    <row r="84" spans="1:22" s="1" customFormat="1">
      <c r="A84" s="328"/>
      <c r="B84" s="328"/>
      <c r="C84" s="210" t="s">
        <v>191</v>
      </c>
      <c r="D84" s="211" t="s">
        <v>192</v>
      </c>
      <c r="E84" s="157"/>
      <c r="F84" s="206"/>
      <c r="G84" s="207"/>
      <c r="H84" s="160"/>
      <c r="I84" s="212"/>
      <c r="J84" s="213"/>
      <c r="K84" s="163"/>
      <c r="L84" s="214"/>
      <c r="M84" s="215"/>
      <c r="N84" s="166"/>
      <c r="O84" s="216"/>
      <c r="P84" s="217"/>
      <c r="Q84" s="157"/>
      <c r="R84" s="206"/>
      <c r="S84" s="207"/>
      <c r="T84" s="172"/>
      <c r="U84" s="218"/>
      <c r="V84" s="219"/>
    </row>
    <row r="85" spans="1:22" s="1" customFormat="1">
      <c r="A85" s="326"/>
      <c r="B85" s="326"/>
      <c r="C85" s="210" t="s">
        <v>193</v>
      </c>
      <c r="D85" s="211" t="s">
        <v>194</v>
      </c>
      <c r="E85" s="157"/>
      <c r="F85" s="206"/>
      <c r="G85" s="207"/>
      <c r="H85" s="160"/>
      <c r="I85" s="212"/>
      <c r="J85" s="213"/>
      <c r="K85" s="163"/>
      <c r="L85" s="214"/>
      <c r="M85" s="215"/>
      <c r="N85" s="166"/>
      <c r="O85" s="216"/>
      <c r="P85" s="217"/>
      <c r="Q85" s="157"/>
      <c r="R85" s="206"/>
      <c r="S85" s="207"/>
      <c r="T85" s="172"/>
      <c r="U85" s="218"/>
      <c r="V85" s="219"/>
    </row>
    <row r="86" spans="1:22" s="1" customFormat="1" ht="15" customHeight="1">
      <c r="A86" s="325" t="s">
        <v>198</v>
      </c>
      <c r="B86" s="325" t="s">
        <v>199</v>
      </c>
      <c r="C86" s="119" t="s">
        <v>200</v>
      </c>
      <c r="D86" s="119" t="s">
        <v>201</v>
      </c>
      <c r="E86" s="73" t="s">
        <v>253</v>
      </c>
      <c r="F86" s="198">
        <v>1</v>
      </c>
      <c r="G86" s="199">
        <f ca="1">SUMIF('tab z-2'!$C$6:$V$140,$C86,'tab z-2'!$H$6:$H$140)*F86</f>
        <v>4502.4869092189465</v>
      </c>
      <c r="H86" s="79"/>
      <c r="I86" s="200">
        <v>1</v>
      </c>
      <c r="J86" s="201">
        <f ca="1">SUMIF('tab z-2'!$C$6:$V$140,$C86,'tab z-2'!$J$6:$J$140)*I86</f>
        <v>0</v>
      </c>
      <c r="K86" s="82"/>
      <c r="L86" s="202">
        <v>1</v>
      </c>
      <c r="M86" s="203">
        <f ca="1">SUMIF('tab z-2'!$C$6:$V$140,$C86,'tab z-2'!$L$6:$L$140)*L86</f>
        <v>0</v>
      </c>
      <c r="N86" s="86"/>
      <c r="O86" s="204">
        <v>1</v>
      </c>
      <c r="P86" s="205">
        <f ca="1">SUMIF('tab z-2'!$C$6:$V$140,$C86,'tab z-2'!$N$6:$N$140)*O86</f>
        <v>0</v>
      </c>
      <c r="Q86" s="73"/>
      <c r="R86" s="198">
        <v>1</v>
      </c>
      <c r="S86" s="199">
        <f ca="1">SUMIF('tab z-2'!$C$6:$V$140,$C86,'tab z-2'!$T$6:$T$140)*R86</f>
        <v>0</v>
      </c>
      <c r="T86" s="172"/>
      <c r="U86" s="218"/>
      <c r="V86" s="227">
        <f ca="1">SUMIF('tab z-2'!$C$6:$V$140,$C86,'tab z-2'!$V$6:$V$140)*U86</f>
        <v>0</v>
      </c>
    </row>
    <row r="87" spans="1:22" s="1" customFormat="1" ht="22.5">
      <c r="A87" s="328"/>
      <c r="B87" s="328"/>
      <c r="C87" s="210" t="s">
        <v>202</v>
      </c>
      <c r="D87" s="211" t="s">
        <v>236</v>
      </c>
      <c r="E87" s="72"/>
      <c r="F87" s="236"/>
      <c r="G87" s="237"/>
      <c r="H87" s="160"/>
      <c r="I87" s="212"/>
      <c r="J87" s="213"/>
      <c r="K87" s="163"/>
      <c r="L87" s="214"/>
      <c r="M87" s="215"/>
      <c r="N87" s="166"/>
      <c r="O87" s="216"/>
      <c r="P87" s="217"/>
      <c r="Q87" s="157"/>
      <c r="R87" s="206"/>
      <c r="S87" s="207"/>
      <c r="T87" s="172"/>
      <c r="U87" s="218"/>
      <c r="V87" s="219"/>
    </row>
    <row r="88" spans="1:22" s="1" customFormat="1" ht="22.5">
      <c r="A88" s="328"/>
      <c r="B88" s="328"/>
      <c r="C88" s="119" t="s">
        <v>203</v>
      </c>
      <c r="D88" s="119" t="s">
        <v>204</v>
      </c>
      <c r="E88" s="73" t="s">
        <v>253</v>
      </c>
      <c r="F88" s="198">
        <v>1</v>
      </c>
      <c r="G88" s="199">
        <f ca="1">SUMIF('tab z-2'!$C$6:$V$140,$C88,'tab z-2'!$H$6:$H$140)*F88</f>
        <v>281.40543182618416</v>
      </c>
      <c r="H88" s="79"/>
      <c r="I88" s="200">
        <v>1</v>
      </c>
      <c r="J88" s="201">
        <f ca="1">SUMIF('tab z-2'!$C$6:$V$140,$C88,'tab z-2'!$J$6:$J$140)*I88</f>
        <v>0</v>
      </c>
      <c r="K88" s="82"/>
      <c r="L88" s="202">
        <v>1</v>
      </c>
      <c r="M88" s="203">
        <f ca="1">SUMIF('tab z-2'!$C$6:$V$140,$C88,'tab z-2'!$L$6:$L$140)*L88</f>
        <v>0</v>
      </c>
      <c r="N88" s="86"/>
      <c r="O88" s="204">
        <v>1</v>
      </c>
      <c r="P88" s="205">
        <f ca="1">SUMIF('tab z-2'!$C$6:$V$140,$C88,'tab z-2'!$N$6:$N$140)*O88</f>
        <v>0</v>
      </c>
      <c r="Q88" s="157"/>
      <c r="R88" s="206"/>
      <c r="S88" s="207"/>
      <c r="T88" s="172"/>
      <c r="U88" s="218"/>
      <c r="V88" s="227">
        <f ca="1">SUMIF('tab z-2'!$C$6:$V$140,$C88,'tab z-2'!$V$6:$V$140)*U88</f>
        <v>0</v>
      </c>
    </row>
    <row r="89" spans="1:22" s="1" customFormat="1">
      <c r="A89" s="328"/>
      <c r="B89" s="328"/>
      <c r="C89" s="119" t="s">
        <v>205</v>
      </c>
      <c r="D89" s="119" t="s">
        <v>206</v>
      </c>
      <c r="E89" s="73" t="s">
        <v>253</v>
      </c>
      <c r="F89" s="198">
        <v>1</v>
      </c>
      <c r="G89" s="199">
        <f ca="1">SUMIF('tab z-2'!$C$6:$V$140,$C89,'tab z-2'!$H$6:$H$140)*F89</f>
        <v>281.40543182618416</v>
      </c>
      <c r="H89" s="79"/>
      <c r="I89" s="200">
        <v>1</v>
      </c>
      <c r="J89" s="201">
        <f ca="1">SUMIF('tab z-2'!$C$6:$V$140,$C89,'tab z-2'!$J$6:$J$140)*I89</f>
        <v>0</v>
      </c>
      <c r="K89" s="82"/>
      <c r="L89" s="202">
        <v>1</v>
      </c>
      <c r="M89" s="203">
        <f ca="1">SUMIF('tab z-2'!$C$6:$V$140,$C89,'tab z-2'!$L$6:$L$140)*L89</f>
        <v>0</v>
      </c>
      <c r="N89" s="86"/>
      <c r="O89" s="204">
        <v>1</v>
      </c>
      <c r="P89" s="205">
        <f ca="1">SUMIF('tab z-2'!$C$6:$V$140,$C89,'tab z-2'!$N$6:$N$140)*O89</f>
        <v>0</v>
      </c>
      <c r="Q89" s="73"/>
      <c r="R89" s="198">
        <v>1</v>
      </c>
      <c r="S89" s="199">
        <f ca="1">SUMIF('tab z-2'!$C$6:$V$140,$C89,'tab z-2'!$T$6:$T$140)*R89</f>
        <v>0</v>
      </c>
      <c r="T89" s="172"/>
      <c r="U89" s="218"/>
      <c r="V89" s="219"/>
    </row>
    <row r="90" spans="1:22" s="1" customFormat="1" ht="22.5">
      <c r="A90" s="328"/>
      <c r="B90" s="328"/>
      <c r="C90" s="210" t="s">
        <v>207</v>
      </c>
      <c r="D90" s="211" t="s">
        <v>237</v>
      </c>
      <c r="E90" s="157"/>
      <c r="F90" s="206"/>
      <c r="G90" s="207"/>
      <c r="H90" s="160"/>
      <c r="I90" s="212"/>
      <c r="J90" s="213"/>
      <c r="K90" s="163"/>
      <c r="L90" s="214"/>
      <c r="M90" s="215"/>
      <c r="N90" s="166"/>
      <c r="O90" s="216"/>
      <c r="P90" s="217"/>
      <c r="Q90" s="157"/>
      <c r="R90" s="206"/>
      <c r="S90" s="207"/>
      <c r="T90" s="172"/>
      <c r="U90" s="218"/>
      <c r="V90" s="219"/>
    </row>
    <row r="91" spans="1:22" s="1" customFormat="1" ht="28.5">
      <c r="A91" s="328"/>
      <c r="B91" s="328"/>
      <c r="C91" s="210" t="s">
        <v>208</v>
      </c>
      <c r="D91" s="211" t="s">
        <v>250</v>
      </c>
      <c r="E91" s="157"/>
      <c r="F91" s="206"/>
      <c r="G91" s="207"/>
      <c r="H91" s="160"/>
      <c r="I91" s="212"/>
      <c r="J91" s="213"/>
      <c r="K91" s="163"/>
      <c r="L91" s="214"/>
      <c r="M91" s="215"/>
      <c r="N91" s="166"/>
      <c r="O91" s="216"/>
      <c r="P91" s="217"/>
      <c r="Q91" s="157"/>
      <c r="R91" s="206"/>
      <c r="S91" s="207"/>
      <c r="T91" s="172"/>
      <c r="U91" s="218"/>
      <c r="V91" s="219"/>
    </row>
    <row r="92" spans="1:22" s="1" customFormat="1" ht="22.5">
      <c r="A92" s="328"/>
      <c r="B92" s="328"/>
      <c r="C92" s="235" t="s">
        <v>209</v>
      </c>
      <c r="D92" s="68" t="s">
        <v>222</v>
      </c>
      <c r="E92" s="159"/>
      <c r="F92" s="238"/>
      <c r="G92" s="239"/>
      <c r="H92" s="162"/>
      <c r="I92" s="240"/>
      <c r="J92" s="241"/>
      <c r="K92" s="165"/>
      <c r="L92" s="242"/>
      <c r="M92" s="243"/>
      <c r="N92" s="170"/>
      <c r="O92" s="244"/>
      <c r="P92" s="245"/>
      <c r="Q92" s="159"/>
      <c r="R92" s="238"/>
      <c r="S92" s="239"/>
      <c r="T92" s="172"/>
      <c r="U92" s="218"/>
      <c r="V92" s="246"/>
    </row>
    <row r="93" spans="1:22" s="1" customFormat="1">
      <c r="A93" s="328"/>
      <c r="B93" s="360"/>
      <c r="C93" s="247" t="s">
        <v>210</v>
      </c>
      <c r="D93" s="248" t="s">
        <v>329</v>
      </c>
      <c r="E93" s="159"/>
      <c r="F93" s="238"/>
      <c r="G93" s="239"/>
      <c r="H93" s="162"/>
      <c r="I93" s="240"/>
      <c r="J93" s="241"/>
      <c r="K93" s="165"/>
      <c r="L93" s="242"/>
      <c r="M93" s="243"/>
      <c r="N93" s="170"/>
      <c r="O93" s="244"/>
      <c r="P93" s="245"/>
      <c r="Q93" s="159"/>
      <c r="R93" s="238"/>
      <c r="S93" s="239"/>
      <c r="T93" s="172"/>
      <c r="U93" s="218"/>
      <c r="V93" s="227">
        <f ca="1">SUMIF('tab z-2'!$C$6:$V$140,$C93,'tab z-2'!$V$6:$V$140)*U93</f>
        <v>0</v>
      </c>
    </row>
    <row r="94" spans="1:22" s="1" customFormat="1" ht="17.25">
      <c r="A94" s="328"/>
      <c r="B94" s="328"/>
      <c r="C94" s="247" t="s">
        <v>211</v>
      </c>
      <c r="D94" s="248" t="s">
        <v>252</v>
      </c>
      <c r="E94" s="157"/>
      <c r="F94" s="249"/>
      <c r="G94" s="250"/>
      <c r="H94" s="160"/>
      <c r="I94" s="251"/>
      <c r="J94" s="252"/>
      <c r="K94" s="163"/>
      <c r="L94" s="253"/>
      <c r="M94" s="254"/>
      <c r="N94" s="166"/>
      <c r="O94" s="255"/>
      <c r="P94" s="256"/>
      <c r="Q94" s="157"/>
      <c r="R94" s="249"/>
      <c r="S94" s="250"/>
      <c r="T94" s="172"/>
      <c r="U94" s="218"/>
      <c r="V94" s="209"/>
    </row>
    <row r="95" spans="1:22" s="1" customFormat="1">
      <c r="A95" s="328"/>
      <c r="B95" s="328"/>
      <c r="C95" s="119" t="s">
        <v>212</v>
      </c>
      <c r="D95" s="119" t="s">
        <v>213</v>
      </c>
      <c r="E95" s="73" t="s">
        <v>253</v>
      </c>
      <c r="F95" s="198">
        <v>1</v>
      </c>
      <c r="G95" s="199">
        <f ca="1">SUMIF('tab z-2'!$C$6:$V$140,$C95,'tab z-2'!$H$6:$H$140)*F95</f>
        <v>844.21629547855241</v>
      </c>
      <c r="H95" s="79"/>
      <c r="I95" s="200">
        <v>1</v>
      </c>
      <c r="J95" s="201">
        <f ca="1">SUMIF('tab z-2'!$C$6:$V$140,$C95,'tab z-2'!$J$6:$J$140)*I95</f>
        <v>0</v>
      </c>
      <c r="K95" s="82"/>
      <c r="L95" s="202">
        <v>1</v>
      </c>
      <c r="M95" s="203">
        <f ca="1">SUMIF('tab z-2'!$C$6:$V$140,$C95,'tab z-2'!$L$6:$L$140)*L95</f>
        <v>0</v>
      </c>
      <c r="N95" s="86"/>
      <c r="O95" s="204">
        <v>1</v>
      </c>
      <c r="P95" s="205">
        <f ca="1">SUMIF('tab z-2'!$C$6:$V$140,$C95,'tab z-2'!$N$6:$N$140)*O95</f>
        <v>0</v>
      </c>
      <c r="Q95" s="73"/>
      <c r="R95" s="198">
        <v>1</v>
      </c>
      <c r="S95" s="199">
        <f ca="1">SUMIF('tab z-2'!$C$6:$V$140,$C95,'tab z-2'!$T$6:$T$140)*R95</f>
        <v>0</v>
      </c>
      <c r="T95" s="172"/>
      <c r="U95" s="218"/>
      <c r="V95" s="227">
        <f ca="1">SUMIF('tab z-2'!$C$6:$V$140,$C95,'tab z-2'!$V$6:$V$140)*U95</f>
        <v>0</v>
      </c>
    </row>
    <row r="96" spans="1:22" s="1" customFormat="1">
      <c r="A96" s="328"/>
      <c r="B96" s="328"/>
      <c r="C96" s="119" t="s">
        <v>214</v>
      </c>
      <c r="D96" s="119" t="s">
        <v>215</v>
      </c>
      <c r="E96" s="73"/>
      <c r="F96" s="198">
        <v>1</v>
      </c>
      <c r="G96" s="199">
        <f ca="1">SUMIF('tab z-2'!$C$6:$V$140,$C96,'tab z-2'!$H$6:$H$140)*F96</f>
        <v>0</v>
      </c>
      <c r="H96" s="79"/>
      <c r="I96" s="200">
        <v>1</v>
      </c>
      <c r="J96" s="201">
        <f ca="1">SUMIF('tab z-2'!$C$6:$V$140,$C96,'tab z-2'!$J$6:$J$140)*I96</f>
        <v>0</v>
      </c>
      <c r="K96" s="82"/>
      <c r="L96" s="202">
        <v>1</v>
      </c>
      <c r="M96" s="203">
        <f ca="1">SUMIF('tab z-2'!$C$6:$V$140,$C96,'tab z-2'!$L$6:$L$140)*L96</f>
        <v>0</v>
      </c>
      <c r="N96" s="86"/>
      <c r="O96" s="204">
        <v>1</v>
      </c>
      <c r="P96" s="205">
        <f ca="1">SUMIF('tab z-2'!$C$6:$V$140,$C96,'tab z-2'!$N$6:$N$140)*O96</f>
        <v>0</v>
      </c>
      <c r="Q96" s="73"/>
      <c r="R96" s="198">
        <v>1</v>
      </c>
      <c r="S96" s="199">
        <f ca="1">SUMIF('tab z-2'!$C$6:$V$140,$C96,'tab z-2'!$T$6:$T$140)*R96</f>
        <v>0</v>
      </c>
      <c r="T96" s="172"/>
      <c r="U96" s="218"/>
      <c r="V96" s="227">
        <f ca="1">SUMIF('tab z-2'!$C$6:$V$140,$C96,'tab z-2'!$V$6:$V$140)*U96</f>
        <v>0</v>
      </c>
    </row>
    <row r="97" spans="1:22" s="1" customFormat="1">
      <c r="A97" s="328"/>
      <c r="B97" s="328"/>
      <c r="C97" s="119" t="s">
        <v>216</v>
      </c>
      <c r="D97" s="119" t="s">
        <v>217</v>
      </c>
      <c r="E97" s="73" t="s">
        <v>253</v>
      </c>
      <c r="F97" s="198">
        <v>1</v>
      </c>
      <c r="G97" s="199">
        <f ca="1">SUMIF('tab z-2'!$C$6:$V$140,$C97,'tab z-2'!$H$6:$H$140)*F97</f>
        <v>562.81086365236831</v>
      </c>
      <c r="H97" s="79"/>
      <c r="I97" s="200">
        <v>1</v>
      </c>
      <c r="J97" s="201">
        <f ca="1">SUMIF('tab z-2'!$C$6:$V$140,$C97,'tab z-2'!$J$6:$J$140)*I97</f>
        <v>0</v>
      </c>
      <c r="K97" s="82"/>
      <c r="L97" s="202">
        <v>1</v>
      </c>
      <c r="M97" s="203">
        <f ca="1">SUMIF('tab z-2'!$C$6:$V$140,$C97,'tab z-2'!$L$6:$L$140)*L97</f>
        <v>0</v>
      </c>
      <c r="N97" s="86"/>
      <c r="O97" s="204">
        <v>1</v>
      </c>
      <c r="P97" s="205">
        <f ca="1">SUMIF('tab z-2'!$C$6:$V$140,$C97,'tab z-2'!$N$6:$N$140)*O97</f>
        <v>0</v>
      </c>
      <c r="Q97" s="73"/>
      <c r="R97" s="198">
        <v>1</v>
      </c>
      <c r="S97" s="199">
        <f ca="1">SUMIF('tab z-2'!$C$6:$V$140,$C97,'tab z-2'!$T$6:$T$140)*R97</f>
        <v>0</v>
      </c>
      <c r="T97" s="172"/>
      <c r="U97" s="218"/>
      <c r="V97" s="227">
        <f ca="1">SUMIF('tab z-2'!$C$6:$V$140,$C97,'tab z-2'!$V$6:$V$140)*U97</f>
        <v>0</v>
      </c>
    </row>
    <row r="98" spans="1:22" s="1" customFormat="1">
      <c r="A98" s="328"/>
      <c r="B98" s="328"/>
      <c r="C98" s="119" t="s">
        <v>218</v>
      </c>
      <c r="D98" s="119" t="s">
        <v>219</v>
      </c>
      <c r="E98" s="73" t="s">
        <v>253</v>
      </c>
      <c r="F98" s="198">
        <v>1</v>
      </c>
      <c r="G98" s="199">
        <f ca="1">SUMIF('tab z-2'!$C$6:$V$140,$C98,'tab z-2'!$H$6:$H$140)*F98</f>
        <v>3517.5678978273017</v>
      </c>
      <c r="H98" s="79"/>
      <c r="I98" s="200">
        <v>1</v>
      </c>
      <c r="J98" s="201">
        <f ca="1">SUMIF('tab z-2'!$C$6:$V$140,$C98,'tab z-2'!$J$6:$J$140)*I98</f>
        <v>0</v>
      </c>
      <c r="K98" s="82"/>
      <c r="L98" s="202">
        <v>1</v>
      </c>
      <c r="M98" s="203">
        <f ca="1">SUMIF('tab z-2'!$C$6:$V$140,$C98,'tab z-2'!$L$6:$L$140)*L98</f>
        <v>0</v>
      </c>
      <c r="N98" s="86"/>
      <c r="O98" s="204">
        <v>1</v>
      </c>
      <c r="P98" s="205">
        <f ca="1">SUMIF('tab z-2'!$C$6:$V$140,$C98,'tab z-2'!$N$6:$N$140)*O98</f>
        <v>0</v>
      </c>
      <c r="Q98" s="73"/>
      <c r="R98" s="198">
        <v>1</v>
      </c>
      <c r="S98" s="199">
        <f ca="1">SUMIF('tab z-2'!$C$6:$V$140,$C98,'tab z-2'!$T$6:$T$140)*R98</f>
        <v>0</v>
      </c>
      <c r="T98" s="172"/>
      <c r="U98" s="218"/>
      <c r="V98" s="227">
        <f ca="1">SUMIF('tab z-2'!$C$6:$V$140,$C98,'tab z-2'!$V$6:$V$140)*U98</f>
        <v>0</v>
      </c>
    </row>
    <row r="99" spans="1:22" s="1" customFormat="1" ht="22.5">
      <c r="A99" s="326"/>
      <c r="B99" s="328"/>
      <c r="C99" s="210" t="s">
        <v>220</v>
      </c>
      <c r="D99" s="211" t="s">
        <v>221</v>
      </c>
      <c r="E99" s="157"/>
      <c r="F99" s="206"/>
      <c r="G99" s="207"/>
      <c r="H99" s="160"/>
      <c r="I99" s="212"/>
      <c r="J99" s="213"/>
      <c r="K99" s="163"/>
      <c r="L99" s="214"/>
      <c r="M99" s="215"/>
      <c r="N99" s="166"/>
      <c r="O99" s="216"/>
      <c r="P99" s="217"/>
      <c r="Q99" s="157"/>
      <c r="R99" s="206"/>
      <c r="S99" s="207"/>
      <c r="T99" s="172"/>
      <c r="U99" s="218"/>
      <c r="V99" s="219"/>
    </row>
    <row r="100" spans="1:22" s="1" customFormat="1" ht="15" customHeight="1">
      <c r="A100" s="325"/>
      <c r="B100" s="325" t="s">
        <v>223</v>
      </c>
      <c r="C100" s="119" t="s">
        <v>224</v>
      </c>
      <c r="D100" s="257" t="s">
        <v>326</v>
      </c>
      <c r="E100" s="73" t="s">
        <v>253</v>
      </c>
      <c r="F100" s="198">
        <v>1</v>
      </c>
      <c r="G100" s="199">
        <f ca="1">SUMIF('tab z-2'!$C$6:$V$140,$C100,'tab z-2'!$H$6:$H$140)*F100</f>
        <v>1125.6217273047366</v>
      </c>
      <c r="H100" s="79"/>
      <c r="I100" s="200">
        <v>1</v>
      </c>
      <c r="J100" s="201">
        <f ca="1">SUMIF('tab z-2'!$C$6:$V$140,$C100,'tab z-2'!$J$6:$J$140)*I100</f>
        <v>0</v>
      </c>
      <c r="K100" s="82"/>
      <c r="L100" s="202">
        <v>1</v>
      </c>
      <c r="M100" s="203">
        <f ca="1">SUMIF('tab z-2'!$C$6:$V$140,$C100,'tab z-2'!$L$6:$L$140)*L100</f>
        <v>0</v>
      </c>
      <c r="N100" s="86"/>
      <c r="O100" s="204">
        <v>1</v>
      </c>
      <c r="P100" s="205">
        <f ca="1">SUMIF('tab z-2'!$C$6:$V$140,$C100,'tab z-2'!$N$6:$N$140)*O100</f>
        <v>0</v>
      </c>
      <c r="Q100" s="73"/>
      <c r="R100" s="198">
        <v>1</v>
      </c>
      <c r="S100" s="199">
        <f ca="1">SUMIF('tab z-2'!$C$6:$V$140,$C100,'tab z-2'!$T$6:$T$140)*R100</f>
        <v>0</v>
      </c>
      <c r="T100" s="172"/>
      <c r="U100" s="218"/>
      <c r="V100" s="227">
        <f ca="1">SUMIF('tab z-2'!$C$6:$V$140,$C100,'tab z-2'!$V$6:$V$140)*U100</f>
        <v>0</v>
      </c>
    </row>
    <row r="101" spans="1:22" s="1" customFormat="1">
      <c r="A101" s="328"/>
      <c r="B101" s="328"/>
      <c r="C101" s="210" t="s">
        <v>225</v>
      </c>
      <c r="D101" s="211" t="s">
        <v>226</v>
      </c>
      <c r="E101" s="157"/>
      <c r="F101" s="206"/>
      <c r="G101" s="207"/>
      <c r="H101" s="160"/>
      <c r="I101" s="212"/>
      <c r="J101" s="213"/>
      <c r="K101" s="163"/>
      <c r="L101" s="214"/>
      <c r="M101" s="215"/>
      <c r="N101" s="166"/>
      <c r="O101" s="216"/>
      <c r="P101" s="217"/>
      <c r="Q101" s="157"/>
      <c r="R101" s="206"/>
      <c r="S101" s="207"/>
      <c r="T101" s="172"/>
      <c r="U101" s="218"/>
      <c r="V101" s="219"/>
    </row>
    <row r="102" spans="1:22" s="1" customFormat="1">
      <c r="A102" s="328"/>
      <c r="B102" s="328"/>
      <c r="C102" s="119" t="s">
        <v>227</v>
      </c>
      <c r="D102" s="257" t="s">
        <v>228</v>
      </c>
      <c r="E102" s="258"/>
      <c r="F102" s="206"/>
      <c r="G102" s="220">
        <f ca="1">SUMIF('tab z-2'!$C$6:$V$140,$C102,'tab z-2'!$H$6:$H$140)*F102</f>
        <v>0</v>
      </c>
      <c r="H102" s="79"/>
      <c r="I102" s="200">
        <v>1</v>
      </c>
      <c r="J102" s="201">
        <f ca="1">SUMIF('tab z-2'!$C$6:$V$140,$C102,'tab z-2'!$J$6:$J$140)*I102</f>
        <v>0</v>
      </c>
      <c r="K102" s="163"/>
      <c r="L102" s="214"/>
      <c r="M102" s="222">
        <f ca="1">SUMIF('tab z-2'!$C$6:$V$140,$C102,'tab z-2'!$L$6:$L$140)*L102</f>
        <v>0</v>
      </c>
      <c r="N102" s="166"/>
      <c r="O102" s="216"/>
      <c r="P102" s="223">
        <f ca="1">SUMIF('tab z-2'!$C$6:$V$140,$C102,'tab z-2'!$N$6:$N$140)*O102</f>
        <v>0</v>
      </c>
      <c r="Q102" s="157"/>
      <c r="R102" s="206"/>
      <c r="S102" s="220">
        <f ca="1">SUMIF('tab z-2'!$C$6:$V$140,$C102,'tab z-2'!$T$6:$T$140)*R102</f>
        <v>0</v>
      </c>
      <c r="T102" s="172"/>
      <c r="U102" s="218"/>
      <c r="V102" s="227">
        <f ca="1">SUMIF('tab z-2'!$C$6:$V$140,$C102,'tab z-2'!$V$6:$V$140)*U102</f>
        <v>0</v>
      </c>
    </row>
    <row r="103" spans="1:22" s="1" customFormat="1">
      <c r="A103" s="328"/>
      <c r="B103" s="328"/>
      <c r="C103" s="119" t="s">
        <v>229</v>
      </c>
      <c r="D103" s="257" t="s">
        <v>230</v>
      </c>
      <c r="E103" s="258"/>
      <c r="F103" s="206"/>
      <c r="G103" s="220">
        <f ca="1">SUMIF('tab z-2'!$C$6:$V$140,$C103,'tab z-2'!$H$6:$H$140)*F103</f>
        <v>0</v>
      </c>
      <c r="H103" s="259"/>
      <c r="I103" s="212"/>
      <c r="J103" s="221">
        <f ca="1">SUMIF('tab z-2'!$C$6:$V$140,$C103,'tab z-2'!$J$6:$J$140)*I103</f>
        <v>0</v>
      </c>
      <c r="K103" s="82"/>
      <c r="L103" s="202">
        <v>1</v>
      </c>
      <c r="M103" s="203">
        <f ca="1">SUMIF('tab z-2'!$C$6:$V$140,$C103,'tab z-2'!$L$6:$L$140)*L103</f>
        <v>0</v>
      </c>
      <c r="N103" s="166"/>
      <c r="O103" s="216"/>
      <c r="P103" s="223">
        <f ca="1">SUMIF('tab z-2'!$C$6:$V$140,$C103,'tab z-2'!$N$6:$N$140)*O103</f>
        <v>0</v>
      </c>
      <c r="Q103" s="157"/>
      <c r="R103" s="206"/>
      <c r="S103" s="220">
        <f ca="1">SUMIF('tab z-2'!$C$6:$V$140,$C103,'tab z-2'!$T$6:$T$140)*R103</f>
        <v>0</v>
      </c>
      <c r="T103" s="172"/>
      <c r="U103" s="218"/>
      <c r="V103" s="227">
        <f ca="1">SUMIF('tab z-2'!$C$6:$V$140,$C103,'tab z-2'!$V$6:$V$140)*U103</f>
        <v>0</v>
      </c>
    </row>
    <row r="104" spans="1:22" s="1" customFormat="1" ht="24">
      <c r="A104" s="326"/>
      <c r="B104" s="326"/>
      <c r="C104" s="210" t="s">
        <v>231</v>
      </c>
      <c r="D104" s="211" t="s">
        <v>241</v>
      </c>
      <c r="E104" s="157"/>
      <c r="F104" s="206"/>
      <c r="G104" s="207"/>
      <c r="H104" s="160"/>
      <c r="I104" s="212"/>
      <c r="J104" s="213"/>
      <c r="K104" s="163"/>
      <c r="L104" s="214"/>
      <c r="M104" s="215"/>
      <c r="N104" s="166"/>
      <c r="O104" s="216"/>
      <c r="P104" s="217"/>
      <c r="Q104" s="157"/>
      <c r="R104" s="206"/>
      <c r="S104" s="207"/>
      <c r="T104" s="172"/>
      <c r="U104" s="218"/>
      <c r="V104" s="219"/>
    </row>
    <row r="105" spans="1:22" s="1" customFormat="1" ht="22.5" customHeight="1">
      <c r="A105" s="325"/>
      <c r="B105" s="325" t="s">
        <v>232</v>
      </c>
      <c r="C105" s="119" t="s">
        <v>233</v>
      </c>
      <c r="D105" s="257" t="s">
        <v>234</v>
      </c>
      <c r="E105" s="258"/>
      <c r="F105" s="206"/>
      <c r="G105" s="220">
        <f ca="1">SUMIF('tab z-2'!$C$6:$V$140,$C105,'tab z-2'!$H$6:$H$140)*F105</f>
        <v>0</v>
      </c>
      <c r="H105" s="259"/>
      <c r="I105" s="212"/>
      <c r="J105" s="221">
        <f ca="1">SUMIF('tab z-2'!$C$6:$V$140,$C105,'tab z-2'!$J$6:$J$140)*I105</f>
        <v>0</v>
      </c>
      <c r="K105" s="163"/>
      <c r="L105" s="214"/>
      <c r="M105" s="222">
        <f ca="1">SUMIF('tab z-2'!$C$6:$V$140,$C105,'tab z-2'!$L$6:$L$140)*L105</f>
        <v>0</v>
      </c>
      <c r="N105" s="166"/>
      <c r="O105" s="216"/>
      <c r="P105" s="223">
        <f ca="1">SUMIF('tab z-2'!$C$6:$V$140,$C105,'tab z-2'!$N$6:$N$140)*O105</f>
        <v>0</v>
      </c>
      <c r="Q105" s="73"/>
      <c r="R105" s="198">
        <v>1</v>
      </c>
      <c r="S105" s="199">
        <f ca="1">SUMIF('tab z-2'!$C$6:$V$140,$C105,'tab z-2'!$T$6:$T$140)*R105</f>
        <v>0</v>
      </c>
      <c r="T105" s="90"/>
      <c r="U105" s="224">
        <v>1</v>
      </c>
      <c r="V105" s="225">
        <f ca="1">SUMIF('tab z-2'!$C$6:$V$140,$C105,'tab z-2'!$V$6:$V$140)*U105</f>
        <v>0</v>
      </c>
    </row>
    <row r="106" spans="1:22" s="1" customFormat="1" ht="57" thickBot="1">
      <c r="A106" s="326"/>
      <c r="B106" s="326"/>
      <c r="C106" s="119" t="s">
        <v>338</v>
      </c>
      <c r="D106" s="119" t="s">
        <v>235</v>
      </c>
      <c r="E106" s="75" t="s">
        <v>253</v>
      </c>
      <c r="F106" s="260">
        <v>1</v>
      </c>
      <c r="G106" s="261">
        <f ca="1">SUMIF('tab z-2'!$C$6:$V$140,$C106,'tab z-2'!$H$6:$H$140)*F106</f>
        <v>309.54597500880254</v>
      </c>
      <c r="H106" s="262"/>
      <c r="I106" s="263"/>
      <c r="J106" s="264">
        <f ca="1">SUMIF('tab z-2'!$C$6:$V$140,$C106,'tab z-2'!$J$6:$J$140)*I106</f>
        <v>0</v>
      </c>
      <c r="K106" s="163"/>
      <c r="L106" s="214"/>
      <c r="M106" s="265">
        <f ca="1">SUMIF('tab z-2'!$C$6:$V$140,$C106,'tab z-2'!$L$6:$L$140)*L106</f>
        <v>0</v>
      </c>
      <c r="N106" s="171"/>
      <c r="O106" s="266"/>
      <c r="P106" s="267">
        <f ca="1">SUMIF('tab z-2'!$C$6:$V$140,$C106,'tab z-2'!$N$6:$N$140)*O106</f>
        <v>0</v>
      </c>
      <c r="Q106" s="75"/>
      <c r="R106" s="260">
        <v>1</v>
      </c>
      <c r="S106" s="261">
        <f ca="1">SUMIF('tab z-2'!$C$6:$V$140,$C106,'tab z-2'!$T$6:$T$140)*R106</f>
        <v>0</v>
      </c>
      <c r="T106" s="173"/>
      <c r="U106" s="268"/>
      <c r="V106" s="269">
        <f ca="1">SUMIF('tab z-2'!$C$6:$V$140,$C106,'tab z-2'!$V$6:$V$140)*U106</f>
        <v>0</v>
      </c>
    </row>
    <row r="107" spans="1:22" s="1" customFormat="1" ht="15.75" thickBot="1">
      <c r="A107" s="327" t="s">
        <v>271</v>
      </c>
      <c r="B107" s="327"/>
      <c r="C107" s="327"/>
      <c r="D107" s="327"/>
      <c r="E107" s="122"/>
      <c r="F107" s="122" t="s">
        <v>359</v>
      </c>
      <c r="G107" s="123">
        <f ca="1">SUM(G18:G106)</f>
        <v>23629.243576323268</v>
      </c>
      <c r="H107" s="270"/>
      <c r="I107" s="270"/>
      <c r="J107" s="123">
        <f ca="1">SUM(J18:J106)</f>
        <v>0</v>
      </c>
      <c r="K107" s="270"/>
      <c r="L107" s="270"/>
      <c r="M107" s="123">
        <f ca="1">SUM(M18:M106)</f>
        <v>0</v>
      </c>
      <c r="N107" s="270"/>
      <c r="O107" s="271"/>
      <c r="P107" s="123">
        <f ca="1">SUM(P18:P106)</f>
        <v>0</v>
      </c>
      <c r="Q107" s="270"/>
      <c r="R107" s="271"/>
      <c r="S107" s="123">
        <f ca="1">SUM(S18:S106)</f>
        <v>0</v>
      </c>
      <c r="T107" s="270"/>
      <c r="U107" s="271"/>
      <c r="V107" s="123">
        <f ca="1">SUM(V18:V106)</f>
        <v>0</v>
      </c>
    </row>
    <row r="108" spans="1:22" s="1" customFormat="1" ht="45.75" customHeight="1">
      <c r="A108" s="313" t="s">
        <v>59</v>
      </c>
      <c r="B108" s="313"/>
      <c r="C108" s="314" t="s">
        <v>385</v>
      </c>
      <c r="D108" s="315"/>
      <c r="E108" s="302" t="s">
        <v>41</v>
      </c>
      <c r="F108" s="303"/>
      <c r="G108" s="304"/>
      <c r="H108" s="316" t="s">
        <v>4</v>
      </c>
      <c r="I108" s="317"/>
      <c r="J108" s="318"/>
      <c r="K108" s="319" t="s">
        <v>4</v>
      </c>
      <c r="L108" s="320"/>
      <c r="M108" s="321"/>
      <c r="N108" s="322" t="s">
        <v>89</v>
      </c>
      <c r="O108" s="323"/>
      <c r="P108" s="324"/>
      <c r="Q108" s="302" t="s">
        <v>197</v>
      </c>
      <c r="R108" s="303"/>
      <c r="S108" s="304"/>
      <c r="T108" s="308" t="s">
        <v>51</v>
      </c>
      <c r="U108" s="309"/>
      <c r="V108" s="310"/>
    </row>
    <row r="109" spans="1:22" s="1" customFormat="1" ht="33.75">
      <c r="A109" s="313"/>
      <c r="B109" s="313"/>
      <c r="C109" s="314"/>
      <c r="D109" s="315"/>
      <c r="E109" s="272" t="s">
        <v>243</v>
      </c>
      <c r="F109" s="110" t="s">
        <v>352</v>
      </c>
      <c r="G109" s="71" t="s">
        <v>353</v>
      </c>
      <c r="H109" s="273" t="s">
        <v>243</v>
      </c>
      <c r="I109" s="112" t="s">
        <v>352</v>
      </c>
      <c r="J109" s="78" t="s">
        <v>353</v>
      </c>
      <c r="K109" s="274" t="s">
        <v>243</v>
      </c>
      <c r="L109" s="194" t="s">
        <v>352</v>
      </c>
      <c r="M109" s="81" t="s">
        <v>353</v>
      </c>
      <c r="N109" s="275" t="s">
        <v>243</v>
      </c>
      <c r="O109" s="113" t="s">
        <v>352</v>
      </c>
      <c r="P109" s="85" t="s">
        <v>353</v>
      </c>
      <c r="Q109" s="272" t="s">
        <v>243</v>
      </c>
      <c r="R109" s="110" t="s">
        <v>352</v>
      </c>
      <c r="S109" s="71" t="s">
        <v>353</v>
      </c>
      <c r="T109" s="276" t="s">
        <v>243</v>
      </c>
      <c r="U109" s="111" t="s">
        <v>352</v>
      </c>
      <c r="V109" s="89" t="s">
        <v>353</v>
      </c>
    </row>
    <row r="110" spans="1:22" s="1" customFormat="1" ht="15" customHeight="1">
      <c r="A110" s="353" t="s">
        <v>83</v>
      </c>
      <c r="B110" s="354" t="s">
        <v>73</v>
      </c>
      <c r="C110" s="277" t="s">
        <v>272</v>
      </c>
      <c r="D110" s="277" t="s">
        <v>273</v>
      </c>
      <c r="E110" s="258"/>
      <c r="F110" s="206"/>
      <c r="G110" s="220">
        <f ca="1">SUMIF('tab z-2'!$C$6:$V$140,$C110,'tab z-2'!$H$6:$H$140)*F110</f>
        <v>0</v>
      </c>
      <c r="H110" s="259"/>
      <c r="I110" s="212"/>
      <c r="J110" s="221"/>
      <c r="K110" s="174"/>
      <c r="L110" s="214"/>
      <c r="M110" s="222"/>
      <c r="N110" s="176"/>
      <c r="O110" s="216"/>
      <c r="P110" s="223"/>
      <c r="Q110" s="74"/>
      <c r="R110" s="226">
        <v>1</v>
      </c>
      <c r="S110" s="220">
        <f ca="1">SUMIF('tab z-2'!$C$6:$V$140,$C110,'tab z-2'!$T$6:$T$140)*R110</f>
        <v>0</v>
      </c>
      <c r="T110" s="118"/>
      <c r="U110" s="278">
        <v>1</v>
      </c>
      <c r="V110" s="225">
        <f ca="1">SUMIF('tab z-2'!$C$6:$V$140,$C110,'tab z-2'!$V$6:$V$140)*U110</f>
        <v>0</v>
      </c>
    </row>
    <row r="111" spans="1:22" s="1" customFormat="1">
      <c r="A111" s="353"/>
      <c r="B111" s="355"/>
      <c r="C111" s="119" t="s">
        <v>274</v>
      </c>
      <c r="D111" s="119" t="s">
        <v>275</v>
      </c>
      <c r="E111" s="258"/>
      <c r="F111" s="206"/>
      <c r="G111" s="220">
        <f ca="1">SUMIF('tab z-2'!$C$6:$V$140,$C111,'tab z-2'!$H$6:$H$140)*F111</f>
        <v>0</v>
      </c>
      <c r="H111" s="259"/>
      <c r="I111" s="212"/>
      <c r="J111" s="221"/>
      <c r="K111" s="174"/>
      <c r="L111" s="214"/>
      <c r="M111" s="222"/>
      <c r="N111" s="176"/>
      <c r="O111" s="216"/>
      <c r="P111" s="223"/>
      <c r="Q111" s="74"/>
      <c r="R111" s="226">
        <v>1</v>
      </c>
      <c r="S111" s="220">
        <f ca="1">SUMIF('tab z-2'!$C$6:$V$140,$C111,'tab z-2'!$T$6:$T$140)*R111</f>
        <v>0</v>
      </c>
      <c r="T111" s="118"/>
      <c r="U111" s="278">
        <v>1</v>
      </c>
      <c r="V111" s="225">
        <f ca="1">SUMIF('tab z-2'!$C$6:$V$140,$C111,'tab z-2'!$V$6:$V$140)*U111</f>
        <v>0</v>
      </c>
    </row>
    <row r="112" spans="1:22" s="1" customFormat="1" ht="15" customHeight="1">
      <c r="A112" s="353"/>
      <c r="B112" s="356" t="s">
        <v>286</v>
      </c>
      <c r="C112" s="119" t="s">
        <v>77</v>
      </c>
      <c r="D112" s="119" t="s">
        <v>276</v>
      </c>
      <c r="E112" s="258"/>
      <c r="F112" s="206"/>
      <c r="G112" s="220">
        <f ca="1">SUMIF('tab z-2'!$C$6:$V$140,$C112,'tab z-2'!$H$6:$H$140)*F112</f>
        <v>0</v>
      </c>
      <c r="H112" s="259"/>
      <c r="I112" s="212"/>
      <c r="J112" s="221"/>
      <c r="K112" s="174"/>
      <c r="L112" s="214"/>
      <c r="M112" s="222"/>
      <c r="N112" s="176"/>
      <c r="O112" s="216"/>
      <c r="P112" s="223"/>
      <c r="Q112" s="74"/>
      <c r="R112" s="226">
        <v>1</v>
      </c>
      <c r="S112" s="220">
        <f ca="1">SUMIF('tab z-2'!$C$6:$V$140,$C112,'tab z-2'!$T$6:$T$140)*R112</f>
        <v>0</v>
      </c>
      <c r="T112" s="118"/>
      <c r="U112" s="278">
        <v>1</v>
      </c>
      <c r="V112" s="225">
        <f ca="1">SUMIF('tab z-2'!$C$6:$V$140,$C112,'tab z-2'!$V$6:$V$140)*U112</f>
        <v>0</v>
      </c>
    </row>
    <row r="113" spans="1:31" s="1" customFormat="1" ht="33.75">
      <c r="A113" s="353"/>
      <c r="B113" s="354"/>
      <c r="C113" s="119" t="s">
        <v>277</v>
      </c>
      <c r="D113" s="119" t="s">
        <v>278</v>
      </c>
      <c r="E113" s="258"/>
      <c r="F113" s="206"/>
      <c r="G113" s="220">
        <f ca="1">SUMIF('tab z-2'!$C$6:$V$140,$C113,'tab z-2'!$H$6:$H$140)*F113</f>
        <v>0</v>
      </c>
      <c r="H113" s="259"/>
      <c r="I113" s="212"/>
      <c r="J113" s="221"/>
      <c r="K113" s="174"/>
      <c r="L113" s="214"/>
      <c r="M113" s="222"/>
      <c r="N113" s="176"/>
      <c r="O113" s="216"/>
      <c r="P113" s="223"/>
      <c r="Q113" s="74"/>
      <c r="R113" s="226">
        <v>1</v>
      </c>
      <c r="S113" s="220">
        <f ca="1">SUMIF('tab z-2'!$C$6:$V$140,$C113,'tab z-2'!$T$6:$T$140)*R113</f>
        <v>0</v>
      </c>
      <c r="T113" s="118"/>
      <c r="U113" s="278">
        <v>1</v>
      </c>
      <c r="V113" s="225">
        <f ca="1">SUMIF('tab z-2'!$C$6:$V$140,$C113,'tab z-2'!$V$6:$V$140)*U113</f>
        <v>0</v>
      </c>
    </row>
    <row r="114" spans="1:31" s="1" customFormat="1" ht="33.75">
      <c r="A114" s="353"/>
      <c r="B114" s="354"/>
      <c r="C114" s="119" t="s">
        <v>337</v>
      </c>
      <c r="D114" s="119" t="s">
        <v>354</v>
      </c>
      <c r="E114" s="74" t="s">
        <v>253</v>
      </c>
      <c r="F114" s="198">
        <v>1</v>
      </c>
      <c r="G114" s="199">
        <f ca="1">SUMIF('tab z-2'!$C$6:$V$140,$C114,'tab z-2'!$H$6:$H$140)*F114</f>
        <v>962.82209996250867</v>
      </c>
      <c r="H114" s="79"/>
      <c r="I114" s="200">
        <v>1</v>
      </c>
      <c r="J114" s="201">
        <f ca="1">SUMIF('tab z-2'!$C$6:$V$140,$C114,'tab z-2'!$J$6:$J$140)*I114</f>
        <v>0</v>
      </c>
      <c r="K114" s="82"/>
      <c r="L114" s="202">
        <v>1</v>
      </c>
      <c r="M114" s="203">
        <f ca="1">SUMIF('tab z-2'!$C$6:$V$140,$C114,'tab z-2'!$L$6:$L$140)*L114</f>
        <v>0</v>
      </c>
      <c r="N114" s="86"/>
      <c r="O114" s="204">
        <v>1</v>
      </c>
      <c r="P114" s="205">
        <f ca="1">SUMIF('tab z-2'!$C$6:$V$140,$C114,'tab z-2'!$N$6:$N$140)*O114</f>
        <v>0</v>
      </c>
      <c r="Q114" s="74"/>
      <c r="R114" s="226">
        <v>1</v>
      </c>
      <c r="S114" s="220">
        <f ca="1">SUMIF('tab z-2'!$C$6:$V$140,$C114,'tab z-2'!$T$6:$T$140)*R114</f>
        <v>0</v>
      </c>
      <c r="T114" s="118"/>
      <c r="U114" s="278">
        <v>1</v>
      </c>
      <c r="V114" s="225">
        <f ca="1">SUMIF('tab z-2'!$C$6:$V$140,$C114,'tab z-2'!$V$6:$V$140)*U114</f>
        <v>0</v>
      </c>
    </row>
    <row r="115" spans="1:31" s="1" customFormat="1" ht="45">
      <c r="A115" s="353"/>
      <c r="B115" s="354"/>
      <c r="C115" s="119" t="s">
        <v>333</v>
      </c>
      <c r="D115" s="119" t="s">
        <v>380</v>
      </c>
      <c r="E115" s="74" t="s">
        <v>253</v>
      </c>
      <c r="F115" s="198">
        <v>1</v>
      </c>
      <c r="G115" s="199">
        <f ca="1">SUMIF('tab z-2'!$C$6:$V$140,$C115,'tab z-2'!$H$6:$H$140)*F115</f>
        <v>4814.1104998125438</v>
      </c>
      <c r="H115" s="79"/>
      <c r="I115" s="200">
        <v>1</v>
      </c>
      <c r="J115" s="201">
        <f ca="1">SUMIF('tab z-2'!$C$6:$V$140,$C115,'tab z-2'!$J$6:$J$140)*I115</f>
        <v>0</v>
      </c>
      <c r="K115" s="82"/>
      <c r="L115" s="202">
        <v>1</v>
      </c>
      <c r="M115" s="203">
        <f ca="1">SUMIF('tab z-2'!$C$6:$V$140,$C115,'tab z-2'!$L$6:$L$140)*L115</f>
        <v>0</v>
      </c>
      <c r="N115" s="86"/>
      <c r="O115" s="204">
        <v>1</v>
      </c>
      <c r="P115" s="205">
        <f ca="1">SUMIF('tab z-2'!$C$6:$V$140,$C115,'tab z-2'!$N$6:$N$140)*O115</f>
        <v>0</v>
      </c>
      <c r="Q115" s="74"/>
      <c r="R115" s="226">
        <v>1</v>
      </c>
      <c r="S115" s="220">
        <f ca="1">SUMIF('tab z-2'!$C$6:$V$140,$C115,'tab z-2'!$T$6:$T$140)*R115</f>
        <v>0</v>
      </c>
      <c r="T115" s="172"/>
      <c r="U115" s="218"/>
      <c r="V115" s="227"/>
    </row>
    <row r="116" spans="1:31" s="1" customFormat="1" ht="33.75">
      <c r="A116" s="353"/>
      <c r="B116" s="354"/>
      <c r="C116" s="119" t="s">
        <v>331</v>
      </c>
      <c r="D116" s="119" t="s">
        <v>377</v>
      </c>
      <c r="E116" s="74"/>
      <c r="F116" s="198">
        <v>1</v>
      </c>
      <c r="G116" s="199">
        <f ca="1">SUMIF('tab z-2'!$C$6:$V$140,$C116,'tab z-2'!$H$6:$H$140)*F116</f>
        <v>0</v>
      </c>
      <c r="H116" s="79"/>
      <c r="I116" s="200">
        <v>1</v>
      </c>
      <c r="J116" s="201">
        <f ca="1">SUMIF('tab z-2'!$C$6:$V$140,$C116,'tab z-2'!$J$6:$J$140)*I116</f>
        <v>0</v>
      </c>
      <c r="K116" s="82"/>
      <c r="L116" s="202">
        <v>1</v>
      </c>
      <c r="M116" s="203">
        <f ca="1">SUMIF('tab z-2'!$C$6:$V$140,$C116,'tab z-2'!$L$6:$L$140)*L116</f>
        <v>0</v>
      </c>
      <c r="N116" s="86"/>
      <c r="O116" s="204">
        <v>1</v>
      </c>
      <c r="P116" s="205">
        <f ca="1">SUMIF('tab z-2'!$C$6:$V$140,$C116,'tab z-2'!$N$6:$N$140)*O116</f>
        <v>0</v>
      </c>
      <c r="Q116" s="74"/>
      <c r="R116" s="226">
        <v>1</v>
      </c>
      <c r="S116" s="220">
        <f ca="1">SUMIF('tab z-2'!$C$6:$V$140,$C116,'tab z-2'!$T$6:$T$140)*R116</f>
        <v>0</v>
      </c>
      <c r="T116" s="118"/>
      <c r="U116" s="278">
        <v>1</v>
      </c>
      <c r="V116" s="225">
        <f ca="1">SUMIF('tab z-2'!$C$6:$V$140,$C116,'tab z-2'!$V$6:$V$140)*U116</f>
        <v>0</v>
      </c>
    </row>
    <row r="117" spans="1:31" s="1" customFormat="1" ht="22.5">
      <c r="A117" s="353"/>
      <c r="B117" s="354"/>
      <c r="C117" s="119" t="s">
        <v>281</v>
      </c>
      <c r="D117" s="119" t="s">
        <v>376</v>
      </c>
      <c r="E117" s="258"/>
      <c r="F117" s="206"/>
      <c r="G117" s="220">
        <f ca="1">SUMIF('tab z-2'!$C$6:$V$140,$C117,'tab z-2'!$H$6:$H$140)*F117</f>
        <v>0</v>
      </c>
      <c r="H117" s="259"/>
      <c r="I117" s="212"/>
      <c r="J117" s="221"/>
      <c r="K117" s="174"/>
      <c r="L117" s="214"/>
      <c r="M117" s="222"/>
      <c r="N117" s="176"/>
      <c r="O117" s="216"/>
      <c r="P117" s="223"/>
      <c r="Q117" s="74"/>
      <c r="R117" s="226">
        <v>1</v>
      </c>
      <c r="S117" s="220">
        <f ca="1">SUMIF('tab z-2'!$C$6:$V$140,$C117,'tab z-2'!$T$6:$T$140)*R117</f>
        <v>0</v>
      </c>
      <c r="T117" s="172"/>
      <c r="U117" s="218"/>
      <c r="V117" s="227">
        <f ca="1">SUMIF('tab z-2'!$C$6:$V$140,$C117,'tab z-2'!$V$6:$V$140)*U117</f>
        <v>0</v>
      </c>
    </row>
    <row r="118" spans="1:31" s="1" customFormat="1">
      <c r="A118" s="353"/>
      <c r="B118" s="354"/>
      <c r="C118" s="119" t="s">
        <v>282</v>
      </c>
      <c r="D118" s="119" t="s">
        <v>283</v>
      </c>
      <c r="E118" s="258"/>
      <c r="F118" s="206"/>
      <c r="G118" s="220">
        <f ca="1">SUMIF('tab z-2'!$C$6:$V$140,$C118,'tab z-2'!$H$6:$H$140)*F118</f>
        <v>0</v>
      </c>
      <c r="H118" s="259"/>
      <c r="I118" s="212"/>
      <c r="J118" s="221"/>
      <c r="K118" s="174"/>
      <c r="L118" s="214"/>
      <c r="M118" s="222"/>
      <c r="N118" s="176"/>
      <c r="O118" s="216"/>
      <c r="P118" s="223"/>
      <c r="Q118" s="74"/>
      <c r="R118" s="226">
        <v>1</v>
      </c>
      <c r="S118" s="220">
        <f ca="1">SUMIF('tab z-2'!$C$6:$V$140,$C118,'tab z-2'!$T$6:$T$140)*R118</f>
        <v>0</v>
      </c>
      <c r="T118" s="172"/>
      <c r="U118" s="218"/>
      <c r="V118" s="227">
        <f ca="1">SUMIF('tab z-2'!$C$6:$V$140,$C118,'tab z-2'!$V$6:$V$140)*U118</f>
        <v>0</v>
      </c>
    </row>
    <row r="119" spans="1:31" s="1" customFormat="1">
      <c r="A119" s="353"/>
      <c r="B119" s="354"/>
      <c r="C119" s="119" t="s">
        <v>284</v>
      </c>
      <c r="D119" s="119" t="s">
        <v>285</v>
      </c>
      <c r="E119" s="258"/>
      <c r="F119" s="206"/>
      <c r="G119" s="220">
        <f ca="1">SUMIF('tab z-2'!$C$6:$V$140,$C119,'tab z-2'!$H$6:$H$140)*F119</f>
        <v>0</v>
      </c>
      <c r="H119" s="259"/>
      <c r="I119" s="212"/>
      <c r="J119" s="221"/>
      <c r="K119" s="174"/>
      <c r="L119" s="214"/>
      <c r="M119" s="222"/>
      <c r="N119" s="176"/>
      <c r="O119" s="216"/>
      <c r="P119" s="223"/>
      <c r="Q119" s="74"/>
      <c r="R119" s="226">
        <v>1</v>
      </c>
      <c r="S119" s="220">
        <f ca="1">SUMIF('tab z-2'!$C$6:$V$140,$C119,'tab z-2'!$T$6:$T$140)*R119</f>
        <v>0</v>
      </c>
      <c r="T119" s="172"/>
      <c r="U119" s="218"/>
      <c r="V119" s="227">
        <f ca="1">SUMIF('tab z-2'!$C$6:$V$140,$C119,'tab z-2'!$V$6:$V$140)*U119</f>
        <v>0</v>
      </c>
    </row>
    <row r="120" spans="1:31" s="1" customFormat="1" ht="33.75">
      <c r="A120" s="353"/>
      <c r="B120" s="358" t="s">
        <v>82</v>
      </c>
      <c r="C120" s="119" t="s">
        <v>332</v>
      </c>
      <c r="D120" s="119" t="s">
        <v>316</v>
      </c>
      <c r="E120" s="74" t="s">
        <v>253</v>
      </c>
      <c r="F120" s="198">
        <v>1</v>
      </c>
      <c r="G120" s="199">
        <f ca="1">SUMIF('tab z-2'!$C$6:$V$140,$C120,'tab z-2'!$H$6:$H$140)*F120</f>
        <v>4493.1697998250411</v>
      </c>
      <c r="H120" s="79"/>
      <c r="I120" s="200">
        <v>1</v>
      </c>
      <c r="J120" s="201">
        <f ca="1">SUMIF('tab z-2'!$C$6:$V$140,$C120,'tab z-2'!$J$6:$J$140)*I120</f>
        <v>0</v>
      </c>
      <c r="K120" s="82"/>
      <c r="L120" s="202">
        <v>1</v>
      </c>
      <c r="M120" s="203">
        <f ca="1">SUMIF('tab z-2'!$C$6:$V$140,$C120,'tab z-2'!$L$6:$L$140)*L120</f>
        <v>0</v>
      </c>
      <c r="N120" s="86"/>
      <c r="O120" s="204">
        <v>1</v>
      </c>
      <c r="P120" s="205">
        <f ca="1">SUMIF('tab z-2'!$C$6:$V$140,$C120,'tab z-2'!$N$6:$N$140)*O120</f>
        <v>0</v>
      </c>
      <c r="Q120" s="74"/>
      <c r="R120" s="226">
        <v>1</v>
      </c>
      <c r="S120" s="220">
        <f ca="1">SUMIF('tab z-2'!$C$6:$V$140,$C120,'tab z-2'!$T$6:$T$140)*R120</f>
        <v>0</v>
      </c>
      <c r="T120" s="172"/>
      <c r="U120" s="218"/>
      <c r="V120" s="227">
        <f ca="1">SUMIF('tab z-2'!$C$6:$V$140,$C120,'tab z-2'!$V$6:$V$140)*U120</f>
        <v>0</v>
      </c>
    </row>
    <row r="121" spans="1:31" s="1" customFormat="1" ht="33.75">
      <c r="A121" s="353"/>
      <c r="B121" s="358"/>
      <c r="C121" s="65" t="s">
        <v>362</v>
      </c>
      <c r="D121" s="119" t="s">
        <v>287</v>
      </c>
      <c r="E121" s="74" t="s">
        <v>253</v>
      </c>
      <c r="F121" s="198">
        <v>1</v>
      </c>
      <c r="G121" s="199">
        <f ca="1">SUMIF('tab z-2'!$C$6:$V$140,$C121,'tab z-2'!$H$6:$H$140)*F121</f>
        <v>770.25767997000696</v>
      </c>
      <c r="H121" s="79"/>
      <c r="I121" s="200">
        <v>1</v>
      </c>
      <c r="J121" s="201">
        <f ca="1">SUMIF('tab z-2'!$C$6:$V$140,$C121,'tab z-2'!$J$6:$J$140)*I121</f>
        <v>0</v>
      </c>
      <c r="K121" s="82"/>
      <c r="L121" s="202">
        <v>1</v>
      </c>
      <c r="M121" s="203">
        <f ca="1">SUMIF('tab z-2'!$C$6:$V$140,$C121,'tab z-2'!$L$6:$L$140)*L121</f>
        <v>0</v>
      </c>
      <c r="N121" s="86"/>
      <c r="O121" s="204">
        <v>1</v>
      </c>
      <c r="P121" s="205">
        <f ca="1">SUMIF('tab z-2'!$C$6:$V$140,$C121,'tab z-2'!$N$6:$N$140)*O121</f>
        <v>0</v>
      </c>
      <c r="Q121" s="74"/>
      <c r="R121" s="226">
        <v>1</v>
      </c>
      <c r="S121" s="220">
        <f ca="1">SUMIF('tab z-2'!$C$6:$V$140,$C121,'tab z-2'!$T$6:$T$140)*R121</f>
        <v>0</v>
      </c>
      <c r="T121" s="118"/>
      <c r="U121" s="278">
        <v>1</v>
      </c>
      <c r="V121" s="227">
        <f ca="1">SUMIF('tab z-2'!$C$6:$V$140,$C121,'tab z-2'!$V$6:$V$140)*U121</f>
        <v>0</v>
      </c>
    </row>
    <row r="122" spans="1:31" s="1" customFormat="1" ht="22.5">
      <c r="A122" s="353"/>
      <c r="B122" s="358"/>
      <c r="C122" s="119" t="s">
        <v>288</v>
      </c>
      <c r="D122" s="119" t="s">
        <v>289</v>
      </c>
      <c r="E122" s="258"/>
      <c r="F122" s="206"/>
      <c r="G122" s="220">
        <f ca="1">SUMIF('tab z-2'!$C$6:$V$140,$C122,'tab z-2'!$H$6:$H$140)*F122</f>
        <v>0</v>
      </c>
      <c r="H122" s="259"/>
      <c r="I122" s="212"/>
      <c r="J122" s="221"/>
      <c r="K122" s="174"/>
      <c r="L122" s="214"/>
      <c r="M122" s="222"/>
      <c r="N122" s="176"/>
      <c r="O122" s="216"/>
      <c r="P122" s="223"/>
      <c r="Q122" s="74"/>
      <c r="R122" s="226">
        <v>1</v>
      </c>
      <c r="S122" s="220">
        <f ca="1">SUMIF('tab z-2'!$C$6:$V$140,$C122,'tab z-2'!$T$6:$T$140)*R122</f>
        <v>0</v>
      </c>
      <c r="T122" s="118"/>
      <c r="U122" s="278">
        <v>1</v>
      </c>
      <c r="V122" s="225">
        <f ca="1">SUMIF('tab z-2'!$C$6:$V$140,$C122,'tab z-2'!$V$6:$V$140)*U122</f>
        <v>0</v>
      </c>
    </row>
    <row r="123" spans="1:31" s="1" customFormat="1" ht="15" customHeight="1">
      <c r="A123" s="359" t="s">
        <v>299</v>
      </c>
      <c r="B123" s="357" t="s">
        <v>298</v>
      </c>
      <c r="C123" s="119" t="s">
        <v>290</v>
      </c>
      <c r="D123" s="119" t="s">
        <v>291</v>
      </c>
      <c r="E123" s="258"/>
      <c r="F123" s="206"/>
      <c r="G123" s="220">
        <f ca="1">SUMIF('tab z-2'!$C$6:$V$140,$C123,'tab z-2'!$H$6:$H$140)*F123</f>
        <v>0</v>
      </c>
      <c r="H123" s="259"/>
      <c r="I123" s="212"/>
      <c r="J123" s="221"/>
      <c r="K123" s="174"/>
      <c r="L123" s="214"/>
      <c r="M123" s="222"/>
      <c r="N123" s="176"/>
      <c r="O123" s="216"/>
      <c r="P123" s="223"/>
      <c r="Q123" s="74"/>
      <c r="R123" s="226">
        <v>1</v>
      </c>
      <c r="S123" s="220">
        <f ca="1">SUMIF('tab z-2'!$C$6:$V$140,$C123,'tab z-2'!$T$6:$T$140)*R123</f>
        <v>0</v>
      </c>
      <c r="T123" s="118"/>
      <c r="U123" s="278">
        <v>1</v>
      </c>
      <c r="V123" s="225">
        <f ca="1">SUMIF('tab z-2'!$C$6:$V$140,$C123,'tab z-2'!$V$6:$V$140)*U123</f>
        <v>0</v>
      </c>
    </row>
    <row r="124" spans="1:31" s="1" customFormat="1">
      <c r="A124" s="359"/>
      <c r="B124" s="358"/>
      <c r="C124" s="210" t="s">
        <v>292</v>
      </c>
      <c r="D124" s="211" t="s">
        <v>293</v>
      </c>
      <c r="E124" s="157"/>
      <c r="F124" s="206"/>
      <c r="G124" s="207"/>
      <c r="H124" s="259"/>
      <c r="I124" s="212"/>
      <c r="J124" s="221"/>
      <c r="K124" s="174"/>
      <c r="L124" s="214"/>
      <c r="M124" s="222"/>
      <c r="N124" s="176"/>
      <c r="O124" s="216"/>
      <c r="P124" s="223"/>
      <c r="Q124" s="74"/>
      <c r="R124" s="226">
        <v>1</v>
      </c>
      <c r="S124" s="220">
        <f ca="1">SUMIF('tab z-2'!$C$6:$V$140,$C124,'tab z-2'!$T$6:$T$140)*R124</f>
        <v>0</v>
      </c>
      <c r="T124" s="118"/>
      <c r="U124" s="278">
        <v>1</v>
      </c>
      <c r="V124" s="225">
        <f ca="1">SUMIF('tab z-2'!$C$6:$V$140,$C124,'tab z-2'!$V$6:$V$140)*U124</f>
        <v>0</v>
      </c>
    </row>
    <row r="125" spans="1:31" s="1" customFormat="1" ht="22.5">
      <c r="A125" s="359"/>
      <c r="B125" s="358"/>
      <c r="C125" s="210" t="s">
        <v>294</v>
      </c>
      <c r="D125" s="211" t="s">
        <v>295</v>
      </c>
      <c r="E125" s="157"/>
      <c r="F125" s="206"/>
      <c r="G125" s="207"/>
      <c r="H125" s="259"/>
      <c r="I125" s="212"/>
      <c r="J125" s="221"/>
      <c r="K125" s="174"/>
      <c r="L125" s="214"/>
      <c r="M125" s="222"/>
      <c r="N125" s="176"/>
      <c r="O125" s="216"/>
      <c r="P125" s="223"/>
      <c r="Q125" s="74"/>
      <c r="R125" s="226">
        <v>1</v>
      </c>
      <c r="S125" s="220">
        <f ca="1">SUMIF('tab z-2'!$C$6:$V$140,$C125,'tab z-2'!$T$6:$T$140)*R125</f>
        <v>0</v>
      </c>
      <c r="T125" s="172"/>
      <c r="U125" s="218"/>
      <c r="V125" s="227">
        <f ca="1">SUMIF('tab z-2'!$C$6:$V$140,$C125,'tab z-2'!$V$6:$V$140)*U125</f>
        <v>0</v>
      </c>
    </row>
    <row r="126" spans="1:31" s="1" customFormat="1" ht="15.75" thickBot="1">
      <c r="A126" s="359"/>
      <c r="B126" s="358"/>
      <c r="C126" s="210" t="s">
        <v>296</v>
      </c>
      <c r="D126" s="211" t="s">
        <v>297</v>
      </c>
      <c r="E126" s="159"/>
      <c r="F126" s="238"/>
      <c r="G126" s="239"/>
      <c r="H126" s="262"/>
      <c r="I126" s="263"/>
      <c r="J126" s="279"/>
      <c r="K126" s="175"/>
      <c r="L126" s="280"/>
      <c r="M126" s="265"/>
      <c r="N126" s="177"/>
      <c r="O126" s="266"/>
      <c r="P126" s="267"/>
      <c r="Q126" s="179"/>
      <c r="R126" s="281"/>
      <c r="S126" s="180"/>
      <c r="T126" s="173"/>
      <c r="U126" s="268"/>
      <c r="V126" s="269">
        <f ca="1">SUMIF('tab z-2'!$C$6:$V$140,$C126,'tab z-2'!$V$6:$V$140)*U126</f>
        <v>0</v>
      </c>
    </row>
    <row r="127" spans="1:31">
      <c r="E127" s="352" t="s">
        <v>360</v>
      </c>
      <c r="F127" s="352"/>
      <c r="G127" s="125">
        <f ca="1">SUM(G110:G126)</f>
        <v>11040.360079570102</v>
      </c>
      <c r="J127" s="125">
        <f ca="1">SUM(J110:J126)</f>
        <v>0</v>
      </c>
      <c r="M127" s="125">
        <f ca="1">SUM(M110:M126)</f>
        <v>0</v>
      </c>
      <c r="P127" s="125">
        <f ca="1">SUM(P110:P126)</f>
        <v>0</v>
      </c>
      <c r="S127" s="178">
        <f ca="1">SUM(S110:S126)</f>
        <v>0</v>
      </c>
      <c r="V127" s="125">
        <f ca="1">SUM(V110:V126)</f>
        <v>0</v>
      </c>
    </row>
    <row r="128" spans="1:31" s="1" customFormat="1" ht="15" customHeight="1">
      <c r="A128" s="270"/>
      <c r="B128" s="282"/>
      <c r="C128" s="283"/>
      <c r="D128" s="283"/>
      <c r="E128" s="352" t="s">
        <v>361</v>
      </c>
      <c r="F128" s="352"/>
      <c r="G128" s="125">
        <f ca="1">G127+G107</f>
        <v>34669.60365589337</v>
      </c>
      <c r="H128" s="270"/>
      <c r="I128" s="282"/>
      <c r="J128" s="125">
        <f ca="1">J127+J107</f>
        <v>0</v>
      </c>
      <c r="K128" s="282"/>
      <c r="L128" s="282"/>
      <c r="M128" s="125">
        <f ca="1">M127+M107</f>
        <v>0</v>
      </c>
      <c r="N128" s="282"/>
      <c r="O128" s="270"/>
      <c r="P128" s="125">
        <f ca="1">P127+P107</f>
        <v>0</v>
      </c>
      <c r="Q128" s="270"/>
      <c r="R128" s="270"/>
      <c r="S128" s="125">
        <f ca="1">S127+S107</f>
        <v>0</v>
      </c>
      <c r="T128" s="270"/>
      <c r="U128" s="270"/>
      <c r="V128" s="125">
        <f ca="1">V127+V107</f>
        <v>0</v>
      </c>
      <c r="AE128" s="28"/>
    </row>
    <row r="268" spans="1:25" s="1" customFormat="1">
      <c r="A268" s="5"/>
      <c r="B268" s="5"/>
      <c r="C268" s="66"/>
      <c r="D268" s="66"/>
      <c r="E268" s="5"/>
      <c r="F268" s="5"/>
      <c r="G268" s="5"/>
      <c r="H268" s="37"/>
      <c r="I268" s="5"/>
      <c r="J268" s="26"/>
      <c r="K268" s="5"/>
      <c r="L268" s="26"/>
      <c r="U268" s="352" t="s">
        <v>325</v>
      </c>
      <c r="V268" s="352"/>
      <c r="X268"/>
      <c r="Y268"/>
    </row>
    <row r="269" spans="1:25">
      <c r="H269" s="41"/>
    </row>
    <row r="270" spans="1:25">
      <c r="H270" s="41"/>
    </row>
    <row r="271" spans="1:25">
      <c r="H271" s="41"/>
    </row>
    <row r="272" spans="1:25">
      <c r="H272" s="41"/>
    </row>
  </sheetData>
  <sheetProtection password="CCF4" sheet="1" objects="1" scenarios="1"/>
  <dataConsolidate/>
  <mergeCells count="53">
    <mergeCell ref="U268:V268"/>
    <mergeCell ref="A110:A122"/>
    <mergeCell ref="E128:F128"/>
    <mergeCell ref="B24:B26"/>
    <mergeCell ref="B110:B111"/>
    <mergeCell ref="B112:B119"/>
    <mergeCell ref="B123:B126"/>
    <mergeCell ref="A123:A126"/>
    <mergeCell ref="B120:B122"/>
    <mergeCell ref="B48:B74"/>
    <mergeCell ref="A75:A85"/>
    <mergeCell ref="B75:B85"/>
    <mergeCell ref="B28:B47"/>
    <mergeCell ref="B86:B99"/>
    <mergeCell ref="E127:F127"/>
    <mergeCell ref="A18:A27"/>
    <mergeCell ref="A86:A99"/>
    <mergeCell ref="A100:A104"/>
    <mergeCell ref="B100:B104"/>
    <mergeCell ref="B18:B20"/>
    <mergeCell ref="B21:B23"/>
    <mergeCell ref="A1:O2"/>
    <mergeCell ref="A16:B17"/>
    <mergeCell ref="C16:D17"/>
    <mergeCell ref="E16:G16"/>
    <mergeCell ref="H16:J16"/>
    <mergeCell ref="K16:M16"/>
    <mergeCell ref="N16:P16"/>
    <mergeCell ref="A3:F3"/>
    <mergeCell ref="A4:E6"/>
    <mergeCell ref="O5:O11"/>
    <mergeCell ref="A7:E7"/>
    <mergeCell ref="A8:E8"/>
    <mergeCell ref="A9:E9"/>
    <mergeCell ref="A10:E10"/>
    <mergeCell ref="A11:E11"/>
    <mergeCell ref="A12:F12"/>
    <mergeCell ref="J13:N13"/>
    <mergeCell ref="Q16:S16"/>
    <mergeCell ref="Q108:S108"/>
    <mergeCell ref="T16:V16"/>
    <mergeCell ref="T108:V108"/>
    <mergeCell ref="A15:V15"/>
    <mergeCell ref="A108:B109"/>
    <mergeCell ref="C108:D109"/>
    <mergeCell ref="E108:G108"/>
    <mergeCell ref="H108:J108"/>
    <mergeCell ref="K108:M108"/>
    <mergeCell ref="N108:P108"/>
    <mergeCell ref="A105:A106"/>
    <mergeCell ref="B105:B106"/>
    <mergeCell ref="A107:D107"/>
    <mergeCell ref="A28:A74"/>
  </mergeCells>
  <conditionalFormatting sqref="D25:D26 D100 D75:D78 D29 D97:D98 D49 D54 D80:D81 D105:D106 D86 D88 D110:D123 D56:D62 D95 D102:D103">
    <cfRule type="expression" dxfId="63" priority="337">
      <formula>E25="X"</formula>
    </cfRule>
  </conditionalFormatting>
  <conditionalFormatting sqref="C24:C26 C75:C78 C29 C106 C49 C54 C97:C98 C95 C86 C88 C110:C123 C80:C81 C56:C62">
    <cfRule type="expression" dxfId="62" priority="321">
      <formula>OR(E24="X",H24="X",K24="X",O24="X",Q24="X",T24="X")</formula>
    </cfRule>
  </conditionalFormatting>
  <conditionalFormatting sqref="C25:C26 C75:C78 C29 C97:C98 C49 C54 C80:C81 C105:C106 C86 C88 C110:C123 C56:C62 C95 C102:C103">
    <cfRule type="expression" dxfId="61" priority="320">
      <formula>E25="X"</formula>
    </cfRule>
  </conditionalFormatting>
  <conditionalFormatting sqref="D24:D26 D75:D78 D29 D106 D49 D54 D97:D98 D95 D86 D88 D110:D123 D80:D81 D56:D62">
    <cfRule type="expression" dxfId="60" priority="297">
      <formula>OR(E24="X",H24="X",K24="X",O24="X",Q24="X",T24="X")</formula>
    </cfRule>
  </conditionalFormatting>
  <conditionalFormatting sqref="D18">
    <cfRule type="expression" dxfId="59" priority="52">
      <formula>E18="X"</formula>
    </cfRule>
  </conditionalFormatting>
  <conditionalFormatting sqref="C18">
    <cfRule type="expression" dxfId="58" priority="51">
      <formula>OR(E18="X",H18="X",K18="X",O18="X",Q18="X",T18="X")</formula>
    </cfRule>
  </conditionalFormatting>
  <conditionalFormatting sqref="C18">
    <cfRule type="expression" dxfId="57" priority="50">
      <formula>E18="X"</formula>
    </cfRule>
  </conditionalFormatting>
  <conditionalFormatting sqref="D18">
    <cfRule type="expression" dxfId="56" priority="49">
      <formula>OR(E18="X",H18="X",K18="X",O18="X",Q18="X",T18="X")</formula>
    </cfRule>
  </conditionalFormatting>
  <conditionalFormatting sqref="D89">
    <cfRule type="expression" dxfId="55" priority="48">
      <formula>E89="X"</formula>
    </cfRule>
  </conditionalFormatting>
  <conditionalFormatting sqref="C89">
    <cfRule type="expression" dxfId="54" priority="47">
      <formula>OR(E89="X",H89="X",K89="X",O89="X",Q89="X",T89="X")</formula>
    </cfRule>
  </conditionalFormatting>
  <conditionalFormatting sqref="C89">
    <cfRule type="expression" dxfId="53" priority="46">
      <formula>E89="X"</formula>
    </cfRule>
  </conditionalFormatting>
  <conditionalFormatting sqref="D89">
    <cfRule type="expression" dxfId="52" priority="45">
      <formula>OR(E89="X",H89="X",K89="X",O89="X",Q89="X",T89="X")</formula>
    </cfRule>
  </conditionalFormatting>
  <conditionalFormatting sqref="C100">
    <cfRule type="expression" dxfId="51" priority="44">
      <formula>OR(E100="X",H100="X",K100="X",O100="X",Q100="X",T100="X")</formula>
    </cfRule>
  </conditionalFormatting>
  <conditionalFormatting sqref="C100">
    <cfRule type="expression" dxfId="50" priority="43">
      <formula>E100="X"</formula>
    </cfRule>
  </conditionalFormatting>
  <conditionalFormatting sqref="D89">
    <cfRule type="expression" dxfId="49" priority="42">
      <formula>E89="X"</formula>
    </cfRule>
  </conditionalFormatting>
  <conditionalFormatting sqref="C89">
    <cfRule type="expression" dxfId="48" priority="41">
      <formula>OR(E89="X",H89="X",K89="X",O89="X",Q89="X",T89="X")</formula>
    </cfRule>
  </conditionalFormatting>
  <conditionalFormatting sqref="C89">
    <cfRule type="expression" dxfId="47" priority="40">
      <formula>E89="X"</formula>
    </cfRule>
  </conditionalFormatting>
  <conditionalFormatting sqref="D89">
    <cfRule type="expression" dxfId="46" priority="39">
      <formula>OR(E89="X",H89="X",K89="X",O89="X",Q89="X",T89="X")</formula>
    </cfRule>
  </conditionalFormatting>
  <conditionalFormatting sqref="D48">
    <cfRule type="expression" dxfId="45" priority="38">
      <formula>E48="X"</formula>
    </cfRule>
  </conditionalFormatting>
  <conditionalFormatting sqref="C48">
    <cfRule type="expression" dxfId="44" priority="37">
      <formula>OR(E48="X",H48="X",K48="X",O48="X",Q48="X",T48="X")</formula>
    </cfRule>
  </conditionalFormatting>
  <conditionalFormatting sqref="C48">
    <cfRule type="expression" dxfId="43" priority="36">
      <formula>E48="X"</formula>
    </cfRule>
  </conditionalFormatting>
  <conditionalFormatting sqref="D48">
    <cfRule type="expression" dxfId="42" priority="35">
      <formula>OR(E48="X",H48="X",K48="X",O48="X",Q48="X",T48="X")</formula>
    </cfRule>
  </conditionalFormatting>
  <conditionalFormatting sqref="D66">
    <cfRule type="expression" dxfId="41" priority="34">
      <formula>E66="X"</formula>
    </cfRule>
  </conditionalFormatting>
  <conditionalFormatting sqref="C66">
    <cfRule type="expression" dxfId="40" priority="33">
      <formula>OR(E66="X",H66="X",K66="X",O66="X",Q66="X",T66="X")</formula>
    </cfRule>
  </conditionalFormatting>
  <conditionalFormatting sqref="C66">
    <cfRule type="expression" dxfId="39" priority="32">
      <formula>E66="X"</formula>
    </cfRule>
  </conditionalFormatting>
  <conditionalFormatting sqref="D66">
    <cfRule type="expression" dxfId="38" priority="31">
      <formula>OR(E66="X",H66="X",K66="X",O66="X",Q66="X",T66="X")</formula>
    </cfRule>
  </conditionalFormatting>
  <conditionalFormatting sqref="D25:D26 D100 D75:D78 D29 D97:D98 D49 D54 D80:D81 D105:D106 D86 D88 D110:D123 D56:D62 D95 D102:D103">
    <cfRule type="expression" dxfId="37" priority="30">
      <formula>E25="X"</formula>
    </cfRule>
  </conditionalFormatting>
  <conditionalFormatting sqref="C24:C26 C75:C78 C29 C106 C49 C54 C97:C98 C95 C86 C88 C110:C123 C80:C81 C56:C62">
    <cfRule type="expression" dxfId="36" priority="29">
      <formula>OR(E24="X",H24="X",K24="X",O24="X",Q24="X",T24="X")</formula>
    </cfRule>
  </conditionalFormatting>
  <conditionalFormatting sqref="C25:C26 C75:C78 C29 C97:C98 C49 C54 C80:C81 C105:C106 C86 C88 C110:C123 C56:C62 C95 C102:C103">
    <cfRule type="expression" dxfId="35" priority="28">
      <formula>E25="X"</formula>
    </cfRule>
  </conditionalFormatting>
  <conditionalFormatting sqref="D24:D26 D75:D78 D29 D106 D49 D54 D97:D98 D95 D86 D88 D110:D123 D80:D81 D56:D62">
    <cfRule type="expression" dxfId="34" priority="27">
      <formula>OR(E24="X",H24="X",K24="X",O24="X",Q24="X",T24="X")</formula>
    </cfRule>
  </conditionalFormatting>
  <conditionalFormatting sqref="D18">
    <cfRule type="expression" dxfId="33" priority="26">
      <formula>E18="X"</formula>
    </cfRule>
  </conditionalFormatting>
  <conditionalFormatting sqref="C18">
    <cfRule type="expression" dxfId="32" priority="25">
      <formula>OR(E18="X",H18="X",K18="X",O18="X",Q18="X",T18="X")</formula>
    </cfRule>
  </conditionalFormatting>
  <conditionalFormatting sqref="C18">
    <cfRule type="expression" dxfId="31" priority="24">
      <formula>E18="X"</formula>
    </cfRule>
  </conditionalFormatting>
  <conditionalFormatting sqref="D18">
    <cfRule type="expression" dxfId="30" priority="23">
      <formula>OR(E18="X",H18="X",K18="X",O18="X",Q18="X",T18="X")</formula>
    </cfRule>
  </conditionalFormatting>
  <conditionalFormatting sqref="D89">
    <cfRule type="expression" dxfId="29" priority="22">
      <formula>E89="X"</formula>
    </cfRule>
  </conditionalFormatting>
  <conditionalFormatting sqref="C89">
    <cfRule type="expression" dxfId="28" priority="21">
      <formula>OR(E89="X",H89="X",K89="X",O89="X",Q89="X",T89="X")</formula>
    </cfRule>
  </conditionalFormatting>
  <conditionalFormatting sqref="C89">
    <cfRule type="expression" dxfId="27" priority="20">
      <formula>E89="X"</formula>
    </cfRule>
  </conditionalFormatting>
  <conditionalFormatting sqref="D89">
    <cfRule type="expression" dxfId="26" priority="19">
      <formula>OR(E89="X",H89="X",K89="X",O89="X",Q89="X",T89="X")</formula>
    </cfRule>
  </conditionalFormatting>
  <conditionalFormatting sqref="C100">
    <cfRule type="expression" dxfId="25" priority="18">
      <formula>OR(E100="X",H100="X",K100="X",O100="X",Q100="X",T100="X")</formula>
    </cfRule>
  </conditionalFormatting>
  <conditionalFormatting sqref="C100">
    <cfRule type="expression" dxfId="24" priority="17">
      <formula>E100="X"</formula>
    </cfRule>
  </conditionalFormatting>
  <conditionalFormatting sqref="D89">
    <cfRule type="expression" dxfId="23" priority="16">
      <formula>E89="X"</formula>
    </cfRule>
  </conditionalFormatting>
  <conditionalFormatting sqref="C89">
    <cfRule type="expression" dxfId="22" priority="15">
      <formula>OR(E89="X",H89="X",K89="X",O89="X",Q89="X",T89="X")</formula>
    </cfRule>
  </conditionalFormatting>
  <conditionalFormatting sqref="C89">
    <cfRule type="expression" dxfId="21" priority="14">
      <formula>E89="X"</formula>
    </cfRule>
  </conditionalFormatting>
  <conditionalFormatting sqref="D89">
    <cfRule type="expression" dxfId="20" priority="13">
      <formula>OR(E89="X",H89="X",K89="X",O89="X",Q89="X",T89="X")</formula>
    </cfRule>
  </conditionalFormatting>
  <conditionalFormatting sqref="D48">
    <cfRule type="expression" dxfId="19" priority="12">
      <formula>E48="X"</formula>
    </cfRule>
  </conditionalFormatting>
  <conditionalFormatting sqref="C48">
    <cfRule type="expression" dxfId="18" priority="11">
      <formula>OR(E48="X",H48="X",K48="X",O48="X",Q48="X",T48="X")</formula>
    </cfRule>
  </conditionalFormatting>
  <conditionalFormatting sqref="C48">
    <cfRule type="expression" dxfId="17" priority="10">
      <formula>E48="X"</formula>
    </cfRule>
  </conditionalFormatting>
  <conditionalFormatting sqref="D48">
    <cfRule type="expression" dxfId="16" priority="9">
      <formula>OR(E48="X",H48="X",K48="X",O48="X",Q48="X",T48="X")</formula>
    </cfRule>
  </conditionalFormatting>
  <conditionalFormatting sqref="D66">
    <cfRule type="expression" dxfId="15" priority="8">
      <formula>E66="X"</formula>
    </cfRule>
  </conditionalFormatting>
  <conditionalFormatting sqref="C66">
    <cfRule type="expression" dxfId="14" priority="7">
      <formula>OR(E66="X",H66="X",K66="X",O66="X",Q66="X",T66="X")</formula>
    </cfRule>
  </conditionalFormatting>
  <conditionalFormatting sqref="C66">
    <cfRule type="expression" dxfId="13" priority="6">
      <formula>E66="X"</formula>
    </cfRule>
  </conditionalFormatting>
  <conditionalFormatting sqref="D66">
    <cfRule type="expression" dxfId="12" priority="5">
      <formula>OR(E66="X",H66="X",K66="X",O66="X",Q66="X",T66="X")</formula>
    </cfRule>
  </conditionalFormatting>
  <conditionalFormatting sqref="D96">
    <cfRule type="expression" dxfId="11" priority="4">
      <formula>E96="X"</formula>
    </cfRule>
  </conditionalFormatting>
  <conditionalFormatting sqref="C96">
    <cfRule type="expression" dxfId="10" priority="3">
      <formula>OR(E96="X",H96="X",K96="X",O96="X",Q96="X",T96="X")</formula>
    </cfRule>
  </conditionalFormatting>
  <conditionalFormatting sqref="C96">
    <cfRule type="expression" dxfId="9" priority="2">
      <formula>E96="X"</formula>
    </cfRule>
  </conditionalFormatting>
  <conditionalFormatting sqref="D96">
    <cfRule type="expression" dxfId="8" priority="1">
      <formula>OR(E96="X",H96="X",K96="X",O96="X",Q96="X",T96="X")</formula>
    </cfRule>
  </conditionalFormatting>
  <dataValidations count="11">
    <dataValidation type="list" allowBlank="1" showInputMessage="1" showErrorMessage="1" sqref="E110:E126 N110:N126 N18:N23 Q18:Q30 H18:H30 E18:E30 E104 T110:T126 N28:N30 E106 Q110:Q126 K110:K126 H110:H126 Q32:Q106 E32:E101 H32:H106 K32:K106 N32:N106 T18:T106 I18:K18 K19:K30">
      <formula1>"X"</formula1>
    </dataValidation>
    <dataValidation type="list" allowBlank="1" showInputMessage="1" showErrorMessage="1" sqref="M8">
      <formula1>"P.01,P.02,P.03,P.06"</formula1>
    </dataValidation>
    <dataValidation type="list" allowBlank="1" showInputMessage="1" showErrorMessage="1" sqref="N8">
      <formula1>"U.01"</formula1>
    </dataValidation>
    <dataValidation type="list" allowBlank="1" showInputMessage="1" showErrorMessage="1" sqref="J8">
      <formula1>"V.01"</formula1>
    </dataValidation>
    <dataValidation type="list" allowBlank="1" showInputMessage="1" showErrorMessage="1" sqref="I8">
      <formula1>"IA.01,IA.02,IA.03,IA.04"</formula1>
    </dataValidation>
    <dataValidation type="list" allowBlank="1" showInputMessage="1" showErrorMessage="1" sqref="H8">
      <formula1>"S.01,S.02,S.03"</formula1>
    </dataValidation>
    <dataValidation type="list" operator="equal" allowBlank="1" showInputMessage="1" showErrorMessage="1" errorTitle="Attenzione" sqref="G8">
      <formula1>"E.01,E.02,E.03,E.04"</formula1>
    </dataValidation>
    <dataValidation type="list" allowBlank="1" showInputMessage="1" showErrorMessage="1" sqref="K8:L8">
      <formula1>#REF!</formula1>
    </dataValidation>
    <dataValidation type="list" allowBlank="1" showInputMessage="1" showErrorMessage="1" sqref="G10:N10">
      <formula1>"A,M,B"</formula1>
    </dataValidation>
    <dataValidation type="whole" allowBlank="1" showInputMessage="1" showErrorMessage="1" sqref="F106 R106 F114">
      <formula1>0</formula1>
      <formula2>2</formula2>
    </dataValidation>
    <dataValidation type="whole" allowBlank="1" showInputMessage="1" showErrorMessage="1" sqref="U17:U106 E105 O120:O121 O114:O116 L120:L121 L114:L116 I120:I121 I114:I116 N24:N27 R110:R126 U109:U126 F110:F113 E102:E103 F115:F126 I19:I106 R18:R105 F18:F105 O18:O106 L18:L106">
      <formula1>0</formula1>
      <formula2>1</formula2>
    </dataValidation>
  </dataValidations>
  <pageMargins left="0.11811023622047245" right="0.11811023622047245" top="0.35433070866141736" bottom="0.35433070866141736" header="0.11811023622047245" footer="0.31496062992125984"/>
  <pageSetup paperSize="8" scale="25" orientation="portrait" r:id="rId1"/>
  <legacyDrawing r:id="rId2"/>
</worksheet>
</file>

<file path=xl/worksheets/sheet2.xml><?xml version="1.0" encoding="utf-8"?>
<worksheet xmlns="http://schemas.openxmlformats.org/spreadsheetml/2006/main" xmlns:r="http://schemas.openxmlformats.org/officeDocument/2006/relationships">
  <sheetPr codeName="Foglio2"/>
  <dimension ref="A2:L26"/>
  <sheetViews>
    <sheetView topLeftCell="A2" zoomScale="70" zoomScaleNormal="70" workbookViewId="0">
      <selection activeCell="A3" sqref="A3:A12"/>
    </sheetView>
  </sheetViews>
  <sheetFormatPr defaultColWidth="9.140625" defaultRowHeight="12.75"/>
  <cols>
    <col min="1" max="1" width="17.140625" style="139" customWidth="1"/>
    <col min="2" max="2" width="20.5703125" style="139" customWidth="1"/>
    <col min="3" max="3" width="25.28515625" style="139" customWidth="1"/>
    <col min="4" max="7" width="20.5703125" style="139" customWidth="1"/>
    <col min="8" max="8" width="12" style="139" customWidth="1"/>
    <col min="9" max="10" width="9.140625" style="139"/>
    <col min="11" max="11" width="16.7109375" style="139" customWidth="1"/>
    <col min="12" max="17" width="14" style="139" customWidth="1"/>
    <col min="18" max="20" width="9.140625" style="139"/>
    <col min="21" max="21" width="32.5703125" style="139" customWidth="1"/>
    <col min="22" max="16384" width="9.140625" style="139"/>
  </cols>
  <sheetData>
    <row r="2" spans="1:12" ht="38.25">
      <c r="A2" s="138" t="s">
        <v>305</v>
      </c>
      <c r="B2" s="372" t="s">
        <v>357</v>
      </c>
      <c r="C2" s="372"/>
      <c r="D2" s="372"/>
      <c r="E2" s="372"/>
      <c r="F2" s="372"/>
      <c r="G2" s="372"/>
    </row>
    <row r="3" spans="1:12">
      <c r="A3" s="374">
        <v>1475000</v>
      </c>
      <c r="B3" s="376">
        <f>K23</f>
        <v>57453.226363448368</v>
      </c>
      <c r="C3" s="376"/>
      <c r="D3" s="376"/>
      <c r="E3" s="376"/>
      <c r="F3" s="376"/>
      <c r="G3" s="376"/>
    </row>
    <row r="4" spans="1:12">
      <c r="A4" s="375"/>
      <c r="B4" s="377" t="s">
        <v>372</v>
      </c>
      <c r="C4" s="377"/>
      <c r="D4" s="377"/>
      <c r="E4" s="377"/>
      <c r="F4" s="377"/>
      <c r="G4" s="377"/>
    </row>
    <row r="5" spans="1:12">
      <c r="A5" s="375"/>
      <c r="B5" s="377"/>
      <c r="C5" s="377"/>
      <c r="D5" s="377"/>
      <c r="E5" s="377"/>
      <c r="F5" s="377"/>
      <c r="G5" s="377"/>
    </row>
    <row r="6" spans="1:12" ht="15" customHeight="1">
      <c r="A6" s="375"/>
      <c r="B6" s="378"/>
      <c r="C6" s="378"/>
      <c r="D6" s="378"/>
      <c r="E6" s="378"/>
      <c r="F6" s="378"/>
      <c r="G6" s="378"/>
    </row>
    <row r="7" spans="1:12" ht="38.25" customHeight="1">
      <c r="A7" s="375"/>
      <c r="B7" s="362" t="s">
        <v>60</v>
      </c>
      <c r="C7" s="362"/>
      <c r="D7" s="362" t="s">
        <v>243</v>
      </c>
      <c r="E7" s="362" t="s">
        <v>365</v>
      </c>
      <c r="F7" s="362" t="s">
        <v>367</v>
      </c>
      <c r="G7" s="367" t="s">
        <v>366</v>
      </c>
      <c r="H7" s="368"/>
      <c r="I7" s="368"/>
      <c r="J7" s="369"/>
      <c r="K7" s="362" t="s">
        <v>258</v>
      </c>
      <c r="L7" s="362" t="s">
        <v>330</v>
      </c>
    </row>
    <row r="8" spans="1:12" ht="51.75" customHeight="1">
      <c r="A8" s="375"/>
      <c r="B8" s="362"/>
      <c r="C8" s="362"/>
      <c r="D8" s="362"/>
      <c r="E8" s="362"/>
      <c r="F8" s="362"/>
      <c r="G8" s="140" t="s">
        <v>374</v>
      </c>
      <c r="H8" s="140" t="s">
        <v>375</v>
      </c>
      <c r="I8" s="140" t="s">
        <v>373</v>
      </c>
      <c r="J8" s="140" t="s">
        <v>368</v>
      </c>
      <c r="K8" s="362"/>
      <c r="L8" s="362"/>
    </row>
    <row r="9" spans="1:12" ht="28.5" customHeight="1">
      <c r="A9" s="375"/>
      <c r="B9" s="141" t="s">
        <v>337</v>
      </c>
      <c r="C9" s="141" t="s">
        <v>279</v>
      </c>
      <c r="D9" s="142" t="s">
        <v>253</v>
      </c>
      <c r="E9" s="29">
        <v>0.03</v>
      </c>
      <c r="F9" s="136">
        <v>0.85</v>
      </c>
      <c r="G9" s="143">
        <f>IF($A$3&lt;100000,0.069/(0.03+10/POWER($A$3,0.4)),0.53)</f>
        <v>0.53</v>
      </c>
      <c r="H9" s="143">
        <v>0.74</v>
      </c>
      <c r="I9" s="144">
        <v>0.9</v>
      </c>
      <c r="J9" s="144">
        <f>IF($A$3&lt;100000,G9,IF($A$3&lt;=250000,(G9*100000+H9*($A$3-100000))/$A$3,(G9*100000+H9*150000+I9*($A$3-250000))/$A$3))</f>
        <v>0.85864406779661018</v>
      </c>
      <c r="K9" s="145">
        <f>IF(D9="X",1,0)*$A$3*(0.03+10/POWER($A$3,0.4))*E9*F9*J9</f>
        <v>2069.470112660395</v>
      </c>
      <c r="L9" s="146">
        <f t="shared" ref="L9:L13" si="0">K9/$A$3</f>
        <v>1.4030305848545051E-3</v>
      </c>
    </row>
    <row r="10" spans="1:12" ht="45" customHeight="1">
      <c r="A10" s="375"/>
      <c r="B10" s="141" t="s">
        <v>362</v>
      </c>
      <c r="C10" s="141" t="s">
        <v>287</v>
      </c>
      <c r="D10" s="142" t="s">
        <v>253</v>
      </c>
      <c r="E10" s="29">
        <v>2.4E-2</v>
      </c>
      <c r="F10" s="136">
        <f>F9</f>
        <v>0.85</v>
      </c>
      <c r="G10" s="143">
        <f>G9</f>
        <v>0.53</v>
      </c>
      <c r="H10" s="143">
        <f>H9</f>
        <v>0.74</v>
      </c>
      <c r="I10" s="143">
        <f>I9</f>
        <v>0.9</v>
      </c>
      <c r="J10" s="144">
        <f t="shared" ref="J10:J13" si="1">IF($A$3&lt;100000,G10,IF($A$3&lt;=250000,(G10*100000+H10*($A$3-100000))/$A$3,(G10*100000+H10*150000+I10*($A$3-250000))/$A$3))</f>
        <v>0.85864406779661018</v>
      </c>
      <c r="K10" s="145">
        <f t="shared" ref="K10:K13" si="2">IF(D10="X",1,0)*$A$3*(0.03+10/POWER($A$3,0.4))*E10*F10*J10</f>
        <v>1655.5760901283156</v>
      </c>
      <c r="L10" s="147">
        <f t="shared" ref="L10" si="3">K10/$A$3</f>
        <v>1.1224244678836037E-3</v>
      </c>
    </row>
    <row r="11" spans="1:12" ht="60.75" customHeight="1">
      <c r="A11" s="375"/>
      <c r="B11" s="141" t="s">
        <v>338</v>
      </c>
      <c r="C11" s="141" t="s">
        <v>235</v>
      </c>
      <c r="D11" s="142" t="s">
        <v>253</v>
      </c>
      <c r="E11" s="29">
        <v>2.1999999999999999E-2</v>
      </c>
      <c r="F11" s="137">
        <f t="shared" ref="F11:F13" si="4">F10</f>
        <v>0.85</v>
      </c>
      <c r="G11" s="143">
        <f t="shared" ref="G11:I13" si="5">G10</f>
        <v>0.53</v>
      </c>
      <c r="H11" s="143">
        <f t="shared" si="5"/>
        <v>0.74</v>
      </c>
      <c r="I11" s="143">
        <f t="shared" si="5"/>
        <v>0.9</v>
      </c>
      <c r="J11" s="144">
        <f t="shared" si="1"/>
        <v>0.85864406779661018</v>
      </c>
      <c r="K11" s="145">
        <f t="shared" si="2"/>
        <v>1517.6114159509559</v>
      </c>
      <c r="L11" s="147">
        <f t="shared" ref="L11" si="6">K11/$A$3</f>
        <v>1.0288890955599702E-3</v>
      </c>
    </row>
    <row r="12" spans="1:12" ht="38.25" customHeight="1">
      <c r="A12" s="375"/>
      <c r="B12" s="141" t="s">
        <v>333</v>
      </c>
      <c r="C12" s="141" t="s">
        <v>318</v>
      </c>
      <c r="D12" s="142" t="s">
        <v>253</v>
      </c>
      <c r="E12" s="29">
        <v>0.15</v>
      </c>
      <c r="F12" s="137">
        <f t="shared" si="4"/>
        <v>0.85</v>
      </c>
      <c r="G12" s="143">
        <f t="shared" si="5"/>
        <v>0.53</v>
      </c>
      <c r="H12" s="143">
        <f t="shared" si="5"/>
        <v>0.74</v>
      </c>
      <c r="I12" s="143">
        <f t="shared" si="5"/>
        <v>0.9</v>
      </c>
      <c r="J12" s="144">
        <f t="shared" si="1"/>
        <v>0.85864406779661018</v>
      </c>
      <c r="K12" s="145">
        <f t="shared" si="2"/>
        <v>10347.350563301974</v>
      </c>
      <c r="L12" s="146">
        <f t="shared" si="0"/>
        <v>7.015152924272525E-3</v>
      </c>
    </row>
    <row r="13" spans="1:12" ht="51">
      <c r="A13" s="373" t="s">
        <v>308</v>
      </c>
      <c r="B13" s="148" t="s">
        <v>332</v>
      </c>
      <c r="C13" s="141" t="s">
        <v>316</v>
      </c>
      <c r="D13" s="142" t="s">
        <v>253</v>
      </c>
      <c r="E13" s="29">
        <v>0.14000000000000001</v>
      </c>
      <c r="F13" s="137">
        <f t="shared" si="4"/>
        <v>0.85</v>
      </c>
      <c r="G13" s="143">
        <f t="shared" si="5"/>
        <v>0.53</v>
      </c>
      <c r="H13" s="143">
        <f t="shared" si="5"/>
        <v>0.74</v>
      </c>
      <c r="I13" s="143">
        <f t="shared" si="5"/>
        <v>0.9</v>
      </c>
      <c r="J13" s="144">
        <f t="shared" si="1"/>
        <v>0.85864406779661018</v>
      </c>
      <c r="K13" s="145">
        <f t="shared" si="2"/>
        <v>9657.5271924151748</v>
      </c>
      <c r="L13" s="147">
        <f t="shared" si="0"/>
        <v>6.5474760626543557E-3</v>
      </c>
    </row>
    <row r="14" spans="1:12" ht="56.25" customHeight="1">
      <c r="A14" s="373"/>
      <c r="B14" s="363" t="s">
        <v>212</v>
      </c>
      <c r="C14" s="365" t="s">
        <v>213</v>
      </c>
      <c r="D14" s="382" t="s">
        <v>253</v>
      </c>
      <c r="E14" s="150" t="s">
        <v>378</v>
      </c>
      <c r="F14" s="361">
        <f>F13</f>
        <v>0.85</v>
      </c>
      <c r="G14" s="379">
        <f>G13</f>
        <v>0.53</v>
      </c>
      <c r="H14" s="379">
        <f>H13</f>
        <v>0.74</v>
      </c>
      <c r="I14" s="379">
        <f>I13</f>
        <v>0.9</v>
      </c>
      <c r="J14" s="380">
        <v>0.82559322033898308</v>
      </c>
      <c r="K14" s="381">
        <f>IF(D14="X",1,0)*$A$3*(0.03+10/POWER($A$3,0.4))*E15*F14*J14</f>
        <v>4957.6678389630142</v>
      </c>
      <c r="L14" s="370">
        <f t="shared" ref="L14" si="7">K14/$A$3</f>
        <v>3.3611307382800095E-3</v>
      </c>
    </row>
    <row r="15" spans="1:12" ht="45.75" customHeight="1" thickBot="1">
      <c r="A15" s="152">
        <f>L23</f>
        <v>3.8951339907422625E-2</v>
      </c>
      <c r="B15" s="364"/>
      <c r="C15" s="366"/>
      <c r="D15" s="382"/>
      <c r="E15" s="29">
        <f>IF($A$3&lt;=500000,0.045,((500000*0.045+($A$3-500000)*0.09)/$A$3))</f>
        <v>7.4745762711864408E-2</v>
      </c>
      <c r="F15" s="361"/>
      <c r="G15" s="379"/>
      <c r="H15" s="379"/>
      <c r="I15" s="379"/>
      <c r="J15" s="380"/>
      <c r="K15" s="381"/>
      <c r="L15" s="370"/>
    </row>
    <row r="16" spans="1:12" ht="15" customHeight="1">
      <c r="B16" s="141" t="s">
        <v>224</v>
      </c>
      <c r="C16" s="141" t="s">
        <v>379</v>
      </c>
      <c r="D16" s="142" t="s">
        <v>253</v>
      </c>
      <c r="E16" s="29">
        <v>0.08</v>
      </c>
      <c r="F16" s="136">
        <f>F14</f>
        <v>0.85</v>
      </c>
      <c r="G16" s="143">
        <f>G14</f>
        <v>0.53</v>
      </c>
      <c r="H16" s="143">
        <f>H14</f>
        <v>0.74</v>
      </c>
      <c r="I16" s="143">
        <f>I14</f>
        <v>0.9</v>
      </c>
      <c r="J16" s="144">
        <f t="shared" ref="J16:J19" si="8">IF($A$3&lt;100000,G16,IF($A$3&lt;=250000,(G16*100000+H16*($A$3-100000))/$A$3,(G16*100000+H16*150000+I16*($A$3-250000))/$A$3))</f>
        <v>0.85864406779661018</v>
      </c>
      <c r="K16" s="145">
        <f t="shared" ref="K16" si="9">IF(D16="X",1,0)*$A$3*(0.03+10/POWER($A$3,0.4))*E16*F16*J16</f>
        <v>5518.5869670943857</v>
      </c>
      <c r="L16" s="147">
        <f t="shared" ref="L16" si="10">K16/$A$3</f>
        <v>3.7414148929453463E-3</v>
      </c>
    </row>
    <row r="17" spans="2:12" ht="15" customHeight="1">
      <c r="B17" s="141" t="s">
        <v>66</v>
      </c>
      <c r="C17" s="141" t="s">
        <v>67</v>
      </c>
      <c r="D17" s="142" t="s">
        <v>253</v>
      </c>
      <c r="E17" s="29">
        <v>0.08</v>
      </c>
      <c r="F17" s="137">
        <f>F16</f>
        <v>0.85</v>
      </c>
      <c r="G17" s="143">
        <f t="shared" ref="G17:I19" si="11">G16</f>
        <v>0.53</v>
      </c>
      <c r="H17" s="143">
        <f t="shared" si="11"/>
        <v>0.74</v>
      </c>
      <c r="I17" s="143">
        <f t="shared" si="11"/>
        <v>0.9</v>
      </c>
      <c r="J17" s="144">
        <f t="shared" si="8"/>
        <v>0.85864406779661018</v>
      </c>
      <c r="K17" s="145">
        <f t="shared" ref="K17" si="12">IF(D17="X",1,0)*$A$3*(0.03+10/POWER($A$3,0.4))*E17*F17*J17</f>
        <v>5518.5869670943857</v>
      </c>
      <c r="L17" s="147">
        <f t="shared" ref="L17" si="13">K17/$A$3</f>
        <v>3.7414148929453463E-3</v>
      </c>
    </row>
    <row r="18" spans="2:12" ht="76.5">
      <c r="B18" s="141" t="s">
        <v>178</v>
      </c>
      <c r="C18" s="141" t="s">
        <v>179</v>
      </c>
      <c r="D18" s="142" t="s">
        <v>253</v>
      </c>
      <c r="E18" s="29">
        <v>0.03</v>
      </c>
      <c r="F18" s="137">
        <f t="shared" ref="F18:F22" si="14">F16</f>
        <v>0.85</v>
      </c>
      <c r="G18" s="143">
        <f t="shared" si="11"/>
        <v>0.53</v>
      </c>
      <c r="H18" s="143">
        <f t="shared" si="11"/>
        <v>0.74</v>
      </c>
      <c r="I18" s="143">
        <f t="shared" si="11"/>
        <v>0.9</v>
      </c>
      <c r="J18" s="144">
        <f t="shared" si="8"/>
        <v>0.85864406779661018</v>
      </c>
      <c r="K18" s="145">
        <f t="shared" ref="K18" si="15">IF(D18="X",1,0)*$A$3*(0.03+10/POWER($A$3,0.4))*E18*F18*J18</f>
        <v>2069.470112660395</v>
      </c>
      <c r="L18" s="147">
        <f t="shared" ref="L18" si="16">K18/$A$3</f>
        <v>1.4030305848545051E-3</v>
      </c>
    </row>
    <row r="19" spans="2:12" ht="38.25">
      <c r="B19" s="141" t="s">
        <v>282</v>
      </c>
      <c r="C19" s="141" t="s">
        <v>283</v>
      </c>
      <c r="D19" s="142" t="s">
        <v>253</v>
      </c>
      <c r="E19" s="29">
        <v>3.5000000000000003E-2</v>
      </c>
      <c r="F19" s="137">
        <f t="shared" si="14"/>
        <v>0.85</v>
      </c>
      <c r="G19" s="143">
        <f t="shared" si="11"/>
        <v>0.53</v>
      </c>
      <c r="H19" s="143">
        <f t="shared" si="11"/>
        <v>0.74</v>
      </c>
      <c r="I19" s="143">
        <f t="shared" si="11"/>
        <v>0.9</v>
      </c>
      <c r="J19" s="144">
        <f t="shared" si="8"/>
        <v>0.85864406779661018</v>
      </c>
      <c r="K19" s="145">
        <f t="shared" ref="K19" si="17">IF(D19="X",1,0)*$A$3*(0.03+10/POWER($A$3,0.4))*E19*F19*J19</f>
        <v>2414.3817981037937</v>
      </c>
      <c r="L19" s="147">
        <f t="shared" ref="L19" si="18">K19/$A$3</f>
        <v>1.6368690156635889E-3</v>
      </c>
    </row>
    <row r="20" spans="2:12">
      <c r="B20" s="141" t="s">
        <v>64</v>
      </c>
      <c r="C20" s="141" t="s">
        <v>65</v>
      </c>
      <c r="D20" s="149" t="s">
        <v>253</v>
      </c>
      <c r="E20" s="29">
        <v>0.04</v>
      </c>
      <c r="F20" s="137">
        <f t="shared" si="14"/>
        <v>0.85</v>
      </c>
      <c r="G20" s="143">
        <f t="shared" ref="G20:I20" si="19">G19</f>
        <v>0.53</v>
      </c>
      <c r="H20" s="143">
        <f t="shared" si="19"/>
        <v>0.74</v>
      </c>
      <c r="I20" s="143">
        <f t="shared" si="19"/>
        <v>0.9</v>
      </c>
      <c r="J20" s="144">
        <f t="shared" ref="J20:J21" si="20">IF($A$3&lt;100000,G20,IF($A$3&lt;=250000,(G20*100000+H20*($A$3-100000))/$A$3,(G20*100000+H20*150000+I20*($A$3-250000))/$A$3))</f>
        <v>0.85864406779661018</v>
      </c>
      <c r="K20" s="151">
        <f t="shared" ref="K20:K21" si="21">IF(D20="X",1,0)*$A$3*(0.03+10/POWER($A$3,0.4))*E20*F20*J20</f>
        <v>2759.2934835471929</v>
      </c>
      <c r="L20" s="147">
        <f t="shared" ref="L20:L21" si="22">K20/$A$3</f>
        <v>1.8707074464726732E-3</v>
      </c>
    </row>
    <row r="21" spans="2:12" ht="38.25">
      <c r="B21" s="141" t="s">
        <v>205</v>
      </c>
      <c r="C21" s="141" t="s">
        <v>206</v>
      </c>
      <c r="D21" s="149" t="s">
        <v>253</v>
      </c>
      <c r="E21" s="29">
        <v>0.02</v>
      </c>
      <c r="F21" s="137">
        <f t="shared" si="14"/>
        <v>0.85</v>
      </c>
      <c r="G21" s="143">
        <f t="shared" ref="G21:I22" si="23">G20</f>
        <v>0.53</v>
      </c>
      <c r="H21" s="143">
        <f t="shared" si="23"/>
        <v>0.74</v>
      </c>
      <c r="I21" s="143">
        <f t="shared" si="23"/>
        <v>0.9</v>
      </c>
      <c r="J21" s="144">
        <f t="shared" si="20"/>
        <v>0.85864406779661018</v>
      </c>
      <c r="K21" s="151">
        <f t="shared" si="21"/>
        <v>1379.6467417735964</v>
      </c>
      <c r="L21" s="147">
        <f t="shared" si="22"/>
        <v>9.3535372323633658E-4</v>
      </c>
    </row>
    <row r="22" spans="2:12" ht="38.25">
      <c r="B22" s="141" t="s">
        <v>200</v>
      </c>
      <c r="C22" s="141" t="s">
        <v>201</v>
      </c>
      <c r="D22" s="149" t="s">
        <v>253</v>
      </c>
      <c r="E22" s="29">
        <v>0.11</v>
      </c>
      <c r="F22" s="137">
        <f t="shared" si="14"/>
        <v>0.85</v>
      </c>
      <c r="G22" s="143">
        <f t="shared" si="23"/>
        <v>0.53</v>
      </c>
      <c r="H22" s="143">
        <f t="shared" si="23"/>
        <v>0.74</v>
      </c>
      <c r="I22" s="143">
        <f t="shared" si="23"/>
        <v>0.9</v>
      </c>
      <c r="J22" s="144">
        <f t="shared" ref="J22" si="24">IF($A$3&lt;100000,G22,IF($A$3&lt;=250000,(G22*100000+H22*($A$3-100000))/$A$3,(G22*100000+H22*150000+I22*($A$3-250000))/$A$3))</f>
        <v>0.85864406779661018</v>
      </c>
      <c r="K22" s="151">
        <f t="shared" ref="K22" si="25">IF(D22="X",1,0)*$A$3*(0.03+10/POWER($A$3,0.4))*E22*F22*J22</f>
        <v>7588.0570797547807</v>
      </c>
      <c r="L22" s="147">
        <f t="shared" ref="L22" si="26">K22/$A$3</f>
        <v>5.144445477799851E-3</v>
      </c>
    </row>
    <row r="23" spans="2:12">
      <c r="B23" s="371" t="s">
        <v>328</v>
      </c>
      <c r="C23" s="371"/>
      <c r="D23" s="371"/>
      <c r="E23" s="371"/>
      <c r="F23" s="371"/>
      <c r="G23" s="371"/>
      <c r="H23" s="371"/>
      <c r="I23" s="371"/>
      <c r="J23" s="371"/>
      <c r="K23" s="153">
        <f>SUM(K9:K22)</f>
        <v>57453.226363448368</v>
      </c>
      <c r="L23" s="154">
        <f>K23/$A$3</f>
        <v>3.8951339907422625E-2</v>
      </c>
    </row>
    <row r="24" spans="2:12" ht="15" customHeight="1"/>
    <row r="25" spans="2:12" ht="15" customHeight="1"/>
    <row r="26" spans="2:12" ht="12.75" customHeight="1"/>
  </sheetData>
  <sheetProtection password="CCF4" sheet="1" objects="1" scenarios="1" formatCells="0"/>
  <dataConsolidate/>
  <mergeCells count="23">
    <mergeCell ref="G7:J7"/>
    <mergeCell ref="L14:L15"/>
    <mergeCell ref="B23:J23"/>
    <mergeCell ref="B2:G2"/>
    <mergeCell ref="A13:A14"/>
    <mergeCell ref="A3:A12"/>
    <mergeCell ref="B3:G3"/>
    <mergeCell ref="B4:G6"/>
    <mergeCell ref="K7:K8"/>
    <mergeCell ref="L7:L8"/>
    <mergeCell ref="G14:G15"/>
    <mergeCell ref="H14:H15"/>
    <mergeCell ref="I14:I15"/>
    <mergeCell ref="J14:J15"/>
    <mergeCell ref="K14:K15"/>
    <mergeCell ref="D14:D15"/>
    <mergeCell ref="F14:F15"/>
    <mergeCell ref="B7:C8"/>
    <mergeCell ref="D7:D8"/>
    <mergeCell ref="E7:E8"/>
    <mergeCell ref="F7:F8"/>
    <mergeCell ref="B14:B15"/>
    <mergeCell ref="C14:C15"/>
  </mergeCells>
  <conditionalFormatting sqref="C9">
    <cfRule type="expression" dxfId="7" priority="9">
      <formula>D9="X"</formula>
    </cfRule>
  </conditionalFormatting>
  <conditionalFormatting sqref="B9">
    <cfRule type="expression" dxfId="6" priority="7">
      <formula>D9="X"</formula>
    </cfRule>
  </conditionalFormatting>
  <conditionalFormatting sqref="C10:C19">
    <cfRule type="expression" dxfId="5" priority="6">
      <formula>D10="X"</formula>
    </cfRule>
  </conditionalFormatting>
  <conditionalFormatting sqref="B10:B19">
    <cfRule type="expression" dxfId="4" priority="5">
      <formula>D10="X"</formula>
    </cfRule>
  </conditionalFormatting>
  <conditionalFormatting sqref="C20:C21">
    <cfRule type="expression" dxfId="3" priority="4">
      <formula>D20="X"</formula>
    </cfRule>
  </conditionalFormatting>
  <conditionalFormatting sqref="B20:B21">
    <cfRule type="expression" dxfId="2" priority="3">
      <formula>D20="X"</formula>
    </cfRule>
  </conditionalFormatting>
  <conditionalFormatting sqref="C22">
    <cfRule type="expression" dxfId="1" priority="2">
      <formula>D22="X"</formula>
    </cfRule>
  </conditionalFormatting>
  <conditionalFormatting sqref="B22">
    <cfRule type="expression" dxfId="0" priority="1">
      <formula>D22="X"</formula>
    </cfRule>
  </conditionalFormatting>
  <dataValidations disablePrompts="1" count="1">
    <dataValidation type="list" allowBlank="1" showInputMessage="1" showErrorMessage="1" sqref="D9:D14 D16:D22">
      <formula1>"X"</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sheetPr codeName="Foglio1"/>
  <dimension ref="B1:AP71"/>
  <sheetViews>
    <sheetView topLeftCell="G1" zoomScale="80" zoomScaleNormal="80" workbookViewId="0">
      <selection activeCell="W8" sqref="V8:W8"/>
    </sheetView>
  </sheetViews>
  <sheetFormatPr defaultColWidth="9.140625" defaultRowHeight="11.25"/>
  <cols>
    <col min="1" max="1" width="2" style="92" customWidth="1"/>
    <col min="2" max="2" width="2.85546875" style="107" bestFit="1" customWidth="1"/>
    <col min="3" max="3" width="31.85546875" style="108" customWidth="1"/>
    <col min="4" max="4" width="43.140625" style="108" bestFit="1" customWidth="1"/>
    <col min="5" max="5" width="7.85546875" style="107" bestFit="1" customWidth="1"/>
    <col min="6" max="6" width="58.140625" style="108" customWidth="1"/>
    <col min="7" max="7" width="11.5703125" style="108" bestFit="1" customWidth="1"/>
    <col min="8" max="8" width="11.5703125" style="109" customWidth="1"/>
    <col min="9" max="9" width="24.28515625" style="92" bestFit="1" customWidth="1"/>
    <col min="10" max="10" width="12.140625" style="92" bestFit="1" customWidth="1"/>
    <col min="11" max="11" width="12.140625" style="92" customWidth="1"/>
    <col min="12" max="12" width="22.5703125" style="92" customWidth="1"/>
    <col min="13" max="13" width="15" style="107" customWidth="1"/>
    <col min="14" max="14" width="13" style="107" customWidth="1"/>
    <col min="15" max="15" width="15.85546875" style="107" customWidth="1"/>
    <col min="16" max="16" width="16.5703125" style="92" customWidth="1"/>
    <col min="17" max="21" width="9.140625" style="92"/>
    <col min="22" max="22" width="10.140625" style="92" bestFit="1" customWidth="1"/>
    <col min="23" max="23" width="10.140625" style="92" customWidth="1"/>
    <col min="24" max="25" width="9.140625" style="92"/>
    <col min="26" max="26" width="9.85546875" style="92" bestFit="1" customWidth="1"/>
    <col min="27" max="28" width="9.140625" style="92"/>
    <col min="29" max="29" width="9.140625" style="92" bestFit="1" customWidth="1"/>
    <col min="30" max="30" width="10.140625" style="92" bestFit="1" customWidth="1"/>
    <col min="31" max="16384" width="9.140625" style="92"/>
  </cols>
  <sheetData>
    <row r="1" spans="2:42" ht="33" customHeight="1">
      <c r="B1" s="387" t="s">
        <v>50</v>
      </c>
      <c r="C1" s="387"/>
      <c r="D1" s="387"/>
      <c r="E1" s="387"/>
      <c r="F1" s="387"/>
      <c r="G1" s="387"/>
      <c r="H1" s="91"/>
      <c r="I1" s="388" t="s">
        <v>311</v>
      </c>
      <c r="J1" s="389"/>
      <c r="K1" s="389"/>
      <c r="L1" s="389"/>
      <c r="M1" s="389"/>
      <c r="N1" s="389"/>
      <c r="O1" s="389"/>
      <c r="P1" s="390"/>
    </row>
    <row r="2" spans="2:42" ht="54" customHeight="1">
      <c r="B2" s="93" t="s">
        <v>52</v>
      </c>
      <c r="C2" s="93" t="s">
        <v>0</v>
      </c>
      <c r="D2" s="93" t="s">
        <v>1</v>
      </c>
      <c r="E2" s="93" t="s">
        <v>2</v>
      </c>
      <c r="F2" s="93" t="s">
        <v>3</v>
      </c>
      <c r="G2" s="94" t="s">
        <v>239</v>
      </c>
      <c r="H2" s="91"/>
      <c r="I2" s="391" t="s">
        <v>269</v>
      </c>
      <c r="J2" s="392"/>
      <c r="K2" s="397" t="s">
        <v>312</v>
      </c>
      <c r="L2" s="93" t="s">
        <v>322</v>
      </c>
      <c r="M2" s="395" t="s">
        <v>381</v>
      </c>
      <c r="N2" s="395" t="s">
        <v>382</v>
      </c>
      <c r="O2" s="395" t="s">
        <v>310</v>
      </c>
      <c r="P2" s="135" t="s">
        <v>270</v>
      </c>
      <c r="U2" s="197"/>
      <c r="V2" s="155"/>
      <c r="W2" s="155"/>
    </row>
    <row r="3" spans="2:42" ht="35.25" customHeight="1" thickBot="1">
      <c r="B3" s="95">
        <v>1</v>
      </c>
      <c r="C3" s="96" t="s">
        <v>41</v>
      </c>
      <c r="D3" s="96" t="s">
        <v>42</v>
      </c>
      <c r="E3" s="95" t="s">
        <v>43</v>
      </c>
      <c r="F3" s="96" t="s">
        <v>56</v>
      </c>
      <c r="G3" s="97">
        <v>0.65</v>
      </c>
      <c r="H3" s="98"/>
      <c r="I3" s="393"/>
      <c r="J3" s="394"/>
      <c r="K3" s="398"/>
      <c r="L3" s="132">
        <f>(COUNTIF('SPESE TEC. AMBITO A'!E18:E126,"X")+COUNTIF('SPESE TEC. AMBITO A'!H18:H126,"X")+COUNTIF('SPESE TEC. AMBITO A'!K18:K126,"X")+COUNTIF('SPESE TEC. AMBITO A'!N18:N126,"X")+COUNTIF('SPESE TEC. AMBITO A'!Q18:Q126,"X")+COUNTIF('SPESE TEC. AMBITO A'!T18:T126,"X"))/193</f>
        <v>0.14507772020725387</v>
      </c>
      <c r="M3" s="396"/>
      <c r="N3" s="396"/>
      <c r="O3" s="396"/>
      <c r="P3" s="185">
        <f>'SPESE TEC. AMBITO A'!O4</f>
        <v>500000</v>
      </c>
      <c r="V3" s="295"/>
      <c r="W3" s="295"/>
      <c r="X3" s="295"/>
      <c r="Y3" s="295"/>
      <c r="Z3" s="295"/>
      <c r="AA3" s="295"/>
      <c r="AB3" s="295"/>
      <c r="AC3" s="295"/>
      <c r="AD3" s="295"/>
    </row>
    <row r="4" spans="2:42" ht="45">
      <c r="B4" s="95">
        <v>2</v>
      </c>
      <c r="C4" s="96" t="s">
        <v>41</v>
      </c>
      <c r="D4" s="96" t="s">
        <v>42</v>
      </c>
      <c r="E4" s="95" t="s">
        <v>44</v>
      </c>
      <c r="F4" s="96" t="s">
        <v>79</v>
      </c>
      <c r="G4" s="97">
        <v>0.95</v>
      </c>
      <c r="H4" s="98"/>
      <c r="I4" s="133" t="s">
        <v>263</v>
      </c>
      <c r="J4" s="134" t="s">
        <v>195</v>
      </c>
      <c r="K4" s="383" t="s">
        <v>370</v>
      </c>
      <c r="L4" s="383" t="s">
        <v>388</v>
      </c>
      <c r="M4" s="156">
        <f>ROUND(M7*1.1,4)</f>
        <v>0.3216</v>
      </c>
      <c r="N4" s="156">
        <f t="shared" ref="N4:O4" si="0">ROUND(N7*1.1,4)</f>
        <v>0.29699999999999999</v>
      </c>
      <c r="O4" s="156">
        <f t="shared" si="0"/>
        <v>1.9800000000000002E-2</v>
      </c>
      <c r="P4" s="189">
        <f>IF('SPESE TEC. AMBITO A'!$O$4&lt;=550000,'Tab. coeff-ID'!M4,IF('SPESE TEC. AMBITO A'!$O$4&lt;=1000000,550000*'Tab. coeff-ID'!M4/'SPESE TEC. AMBITO A'!$O$4+('SPESE TEC. AMBITO A'!$O$4-550000)/'SPESE TEC. AMBITO A'!$O$4*'Tab. coeff-ID'!N4,525000*'Tab. coeff-ID'!M4/'SPESE TEC. AMBITO A'!$O$4+450000/'SPESE TEC. AMBITO A'!$O$4*'Tab. coeff-ID'!N4+('SPESE TEC. AMBITO A'!$O$4-1000000)/'SPESE TEC. AMBITO A'!$O$4*'Tab. coeff-ID'!O4))*IF($L$3&gt;80%,0.95,IF($L$3&gt;55%,1,IF($L$3&gt;=20%,1.2,1.08)))</f>
        <v>0.34732800000000003</v>
      </c>
      <c r="S4" s="294"/>
      <c r="U4" s="290"/>
      <c r="V4" s="290"/>
      <c r="W4" s="290"/>
      <c r="X4" s="290"/>
      <c r="Y4" s="290"/>
      <c r="Z4" s="290"/>
      <c r="AA4" s="290"/>
      <c r="AB4" s="290"/>
      <c r="AC4" s="290"/>
      <c r="AD4" s="290"/>
    </row>
    <row r="5" spans="2:42" ht="33.75">
      <c r="B5" s="95">
        <v>3</v>
      </c>
      <c r="C5" s="96" t="s">
        <v>41</v>
      </c>
      <c r="D5" s="96" t="s">
        <v>47</v>
      </c>
      <c r="E5" s="95" t="s">
        <v>45</v>
      </c>
      <c r="F5" s="96" t="s">
        <v>57</v>
      </c>
      <c r="G5" s="97">
        <v>0.95</v>
      </c>
      <c r="H5" s="98"/>
      <c r="I5" s="99" t="s">
        <v>264</v>
      </c>
      <c r="J5" s="100" t="s">
        <v>266</v>
      </c>
      <c r="K5" s="384"/>
      <c r="L5" s="384"/>
      <c r="M5" s="183">
        <f>M4*0.9</f>
        <v>0.28944000000000003</v>
      </c>
      <c r="N5" s="183">
        <f t="shared" ref="N5:O5" si="1">N4*0.9</f>
        <v>0.26729999999999998</v>
      </c>
      <c r="O5" s="183">
        <f t="shared" si="1"/>
        <v>1.7820000000000003E-2</v>
      </c>
      <c r="P5" s="190">
        <f>IF('SPESE TEC. AMBITO A'!$O$4&lt;=550000,'Tab. coeff-ID'!M5,IF('SPESE TEC. AMBITO A'!$O$4&lt;=1000000,550000*'Tab. coeff-ID'!M5/'SPESE TEC. AMBITO A'!$O$4+('SPESE TEC. AMBITO A'!$O$4-550000)/'SPESE TEC. AMBITO A'!$O$4*'Tab. coeff-ID'!N5,525000*'Tab. coeff-ID'!M5/'SPESE TEC. AMBITO A'!$O$4+450000/'SPESE TEC. AMBITO A'!$O$4*'Tab. coeff-ID'!N5+('SPESE TEC. AMBITO A'!$O$4-1000000)/'SPESE TEC. AMBITO A'!$O$4*'Tab. coeff-ID'!O5))*IF($L$3&gt;80%,0.95,IF($L$3&gt;55%,1,IF($L$3&gt;=20%,1.2,1.08)))</f>
        <v>0.31259520000000007</v>
      </c>
      <c r="U5" s="290"/>
      <c r="V5" s="290"/>
      <c r="W5" s="292"/>
      <c r="X5" s="290"/>
      <c r="Y5" s="290"/>
      <c r="Z5" s="290"/>
      <c r="AA5" s="290"/>
      <c r="AB5" s="290"/>
      <c r="AC5" s="290"/>
      <c r="AD5" s="290"/>
      <c r="AE5" s="292"/>
    </row>
    <row r="6" spans="2:42" ht="57" thickBot="1">
      <c r="B6" s="95">
        <v>4</v>
      </c>
      <c r="C6" s="96" t="s">
        <v>41</v>
      </c>
      <c r="D6" s="101" t="s">
        <v>48</v>
      </c>
      <c r="E6" s="95" t="s">
        <v>46</v>
      </c>
      <c r="F6" s="101" t="s">
        <v>339</v>
      </c>
      <c r="G6" s="97">
        <v>1.2</v>
      </c>
      <c r="H6" s="102"/>
      <c r="I6" s="186" t="s">
        <v>265</v>
      </c>
      <c r="J6" s="187" t="s">
        <v>196</v>
      </c>
      <c r="K6" s="385"/>
      <c r="L6" s="385"/>
      <c r="M6" s="188">
        <f>M5*0.9</f>
        <v>0.26049600000000006</v>
      </c>
      <c r="N6" s="188">
        <f t="shared" ref="N6:O6" si="2">N5*0.9</f>
        <v>0.24056999999999998</v>
      </c>
      <c r="O6" s="188">
        <f t="shared" si="2"/>
        <v>1.6038000000000004E-2</v>
      </c>
      <c r="P6" s="191">
        <f>IF('SPESE TEC. AMBITO A'!$O$4&lt;=550000,'Tab. coeff-ID'!M6,IF('SPESE TEC. AMBITO A'!$O$4&lt;=1000000,550000*'Tab. coeff-ID'!M6/'SPESE TEC. AMBITO A'!$O$4+('SPESE TEC. AMBITO A'!$O$4-550000)/'SPESE TEC. AMBITO A'!$O$4*'Tab. coeff-ID'!N6,525000*'Tab. coeff-ID'!M6/'SPESE TEC. AMBITO A'!$O$4+450000/'SPESE TEC. AMBITO A'!$O$4*'Tab. coeff-ID'!N6+('SPESE TEC. AMBITO A'!$O$4-1000000)/'SPESE TEC. AMBITO A'!$O$4*'Tab. coeff-ID'!O6))*IF($L$3&gt;80%,0.95,IF($L$3&gt;55%,1,IF($L$3&gt;=20%,1.2,1.08)))</f>
        <v>0.28133568000000009</v>
      </c>
      <c r="U6" s="290"/>
      <c r="V6" s="290"/>
      <c r="W6" s="292"/>
      <c r="X6" s="290"/>
      <c r="Y6" s="290"/>
      <c r="Z6" s="290"/>
      <c r="AA6" s="290"/>
      <c r="AB6" s="290"/>
      <c r="AC6" s="290"/>
      <c r="AD6" s="290"/>
      <c r="AE6" s="292"/>
    </row>
    <row r="7" spans="2:42" ht="45">
      <c r="B7" s="95">
        <v>5</v>
      </c>
      <c r="C7" s="96" t="s">
        <v>4</v>
      </c>
      <c r="D7" s="103" t="s">
        <v>5</v>
      </c>
      <c r="E7" s="95" t="s">
        <v>6</v>
      </c>
      <c r="F7" s="96" t="s">
        <v>340</v>
      </c>
      <c r="G7" s="97">
        <v>0.7</v>
      </c>
      <c r="H7" s="102"/>
      <c r="I7" s="133" t="s">
        <v>263</v>
      </c>
      <c r="J7" s="134" t="s">
        <v>195</v>
      </c>
      <c r="K7" s="383" t="s">
        <v>371</v>
      </c>
      <c r="L7" s="383" t="s">
        <v>388</v>
      </c>
      <c r="M7" s="156">
        <f>IF(P3&lt;150000,0.102+3.9/9050*(P3^(1/2)-155),IF(P3&lt;=550000,0.0452+0.01/(0.03+10/POWER(P3*(P3/150000),0.479)),N7))</f>
        <v>0.29232785090034519</v>
      </c>
      <c r="N7" s="156">
        <v>0.27</v>
      </c>
      <c r="O7" s="156">
        <v>1.7999999999999999E-2</v>
      </c>
      <c r="P7" s="189">
        <f>IF('SPESE TEC. AMBITO A'!$O$4&lt;=550000,'Tab. coeff-ID'!M7,IF('SPESE TEC. AMBITO A'!$O$4&lt;=1000000,550000*'Tab. coeff-ID'!M7/'SPESE TEC. AMBITO A'!$O$4+('SPESE TEC. AMBITO A'!$O$4-550000)/'SPESE TEC. AMBITO A'!$O$4*'Tab. coeff-ID'!N7,525000*'Tab. coeff-ID'!M7/'SPESE TEC. AMBITO A'!$O$4+450000/'SPESE TEC. AMBITO A'!$O$4*'Tab. coeff-ID'!N7+('SPESE TEC. AMBITO A'!$O$4-1000000)/'SPESE TEC. AMBITO A'!$O$4*'Tab. coeff-ID'!O7))*IF($L$3&gt;80%,0.95,IF($L$3&gt;55%,1,IF($L$3&gt;=20%,1.2,1.08)))</f>
        <v>0.3157140789723728</v>
      </c>
      <c r="U7" s="155"/>
      <c r="V7" s="290"/>
      <c r="W7" s="292"/>
      <c r="X7" s="290"/>
      <c r="Y7" s="290"/>
      <c r="Z7" s="290"/>
      <c r="AA7" s="290"/>
      <c r="AB7" s="290"/>
      <c r="AC7" s="290"/>
      <c r="AD7" s="290"/>
      <c r="AE7" s="292"/>
    </row>
    <row r="8" spans="2:42" ht="33.75">
      <c r="B8" s="95">
        <v>6</v>
      </c>
      <c r="C8" s="96" t="s">
        <v>4</v>
      </c>
      <c r="D8" s="103" t="s">
        <v>5</v>
      </c>
      <c r="E8" s="95" t="s">
        <v>7</v>
      </c>
      <c r="F8" s="96" t="s">
        <v>341</v>
      </c>
      <c r="G8" s="97">
        <v>0.5</v>
      </c>
      <c r="H8" s="102"/>
      <c r="I8" s="99" t="s">
        <v>264</v>
      </c>
      <c r="J8" s="100" t="s">
        <v>266</v>
      </c>
      <c r="K8" s="384"/>
      <c r="L8" s="384"/>
      <c r="M8" s="183">
        <f>M7*0.9</f>
        <v>0.26309506581031067</v>
      </c>
      <c r="N8" s="183">
        <f t="shared" ref="N8:O8" si="3">N7*0.9</f>
        <v>0.24300000000000002</v>
      </c>
      <c r="O8" s="183">
        <f t="shared" si="3"/>
        <v>1.6199999999999999E-2</v>
      </c>
      <c r="P8" s="190">
        <f>IF('SPESE TEC. AMBITO A'!$O$4&lt;=550000,'Tab. coeff-ID'!M8,IF('SPESE TEC. AMBITO A'!$O$4&lt;=1000000,550000*'Tab. coeff-ID'!M8/'SPESE TEC. AMBITO A'!$O$4+('SPESE TEC. AMBITO A'!$O$4-550000)/'SPESE TEC. AMBITO A'!$O$4*'Tab. coeff-ID'!N8,525000*'Tab. coeff-ID'!M8/'SPESE TEC. AMBITO A'!$O$4+450000/'SPESE TEC. AMBITO A'!$O$4*'Tab. coeff-ID'!N8+('SPESE TEC. AMBITO A'!$O$4-1000000)/'SPESE TEC. AMBITO A'!$O$4*'Tab. coeff-ID'!O8))*IF($L$3&gt;80%,0.95,IF($L$3&gt;55%,1,IF($L$3&gt;=20%,1.2,1.08)))</f>
        <v>0.28414267107513552</v>
      </c>
      <c r="U8" s="155"/>
      <c r="V8" s="290"/>
      <c r="W8" s="292"/>
      <c r="X8" s="290"/>
      <c r="Y8" s="290"/>
      <c r="Z8" s="290"/>
      <c r="AA8" s="290"/>
      <c r="AB8" s="290"/>
      <c r="AC8" s="290"/>
      <c r="AD8" s="290"/>
      <c r="AE8" s="292"/>
    </row>
    <row r="9" spans="2:42" ht="57" thickBot="1">
      <c r="B9" s="95">
        <v>7</v>
      </c>
      <c r="C9" s="103" t="s">
        <v>4</v>
      </c>
      <c r="D9" s="96" t="s">
        <v>8</v>
      </c>
      <c r="E9" s="95" t="s">
        <v>9</v>
      </c>
      <c r="F9" s="96" t="s">
        <v>10</v>
      </c>
      <c r="G9" s="97">
        <v>0.95</v>
      </c>
      <c r="H9" s="102"/>
      <c r="I9" s="104" t="s">
        <v>265</v>
      </c>
      <c r="J9" s="105" t="s">
        <v>196</v>
      </c>
      <c r="K9" s="386"/>
      <c r="L9" s="386"/>
      <c r="M9" s="184">
        <f>M8*0.9</f>
        <v>0.2367855592292796</v>
      </c>
      <c r="N9" s="184">
        <f t="shared" ref="N9:O9" si="4">N8*0.9</f>
        <v>0.21870000000000003</v>
      </c>
      <c r="O9" s="184">
        <f t="shared" si="4"/>
        <v>1.4579999999999999E-2</v>
      </c>
      <c r="P9" s="192">
        <f>IF('SPESE TEC. AMBITO A'!$O$4&lt;=550000,'Tab. coeff-ID'!M9,IF('SPESE TEC. AMBITO A'!$O$4&lt;=1000000,550000*'Tab. coeff-ID'!M9/'SPESE TEC. AMBITO A'!$O$4+('SPESE TEC. AMBITO A'!$O$4-550000)/'SPESE TEC. AMBITO A'!$O$4*'Tab. coeff-ID'!N9,525000*'Tab. coeff-ID'!M9/'SPESE TEC. AMBITO A'!$O$4+450000/'SPESE TEC. AMBITO A'!$O$4*'Tab. coeff-ID'!N9+('SPESE TEC. AMBITO A'!$O$4-1000000)/'SPESE TEC. AMBITO A'!$O$4*'Tab. coeff-ID'!O9))*IF($L$3&gt;80%,0.95,IF($L$3&gt;55%,1,IF($L$3&gt;=20%,1.2,1.08)))</f>
        <v>0.25572840396762198</v>
      </c>
      <c r="V9" s="290"/>
      <c r="W9" s="292"/>
      <c r="X9" s="290"/>
      <c r="Y9" s="290"/>
      <c r="Z9" s="290"/>
      <c r="AA9" s="290"/>
      <c r="AB9" s="290"/>
      <c r="AC9" s="290"/>
      <c r="AD9" s="290"/>
      <c r="AE9" s="292"/>
    </row>
    <row r="10" spans="2:42" ht="45">
      <c r="B10" s="95">
        <v>8</v>
      </c>
      <c r="C10" s="103" t="s">
        <v>4</v>
      </c>
      <c r="D10" s="96" t="s">
        <v>8</v>
      </c>
      <c r="E10" s="95" t="s">
        <v>342</v>
      </c>
      <c r="F10" s="96" t="s">
        <v>343</v>
      </c>
      <c r="G10" s="97">
        <v>0.9</v>
      </c>
      <c r="H10" s="102"/>
      <c r="M10" s="92"/>
      <c r="N10" s="92"/>
      <c r="O10" s="92"/>
      <c r="V10" s="290"/>
      <c r="W10" s="292"/>
      <c r="X10" s="290"/>
      <c r="Y10" s="290"/>
      <c r="Z10" s="290"/>
      <c r="AA10" s="290"/>
      <c r="AB10" s="290"/>
      <c r="AC10" s="290"/>
      <c r="AD10" s="290"/>
      <c r="AE10" s="292"/>
    </row>
    <row r="11" spans="2:42" ht="67.5">
      <c r="B11" s="95">
        <v>9</v>
      </c>
      <c r="C11" s="103" t="s">
        <v>344</v>
      </c>
      <c r="D11" s="96" t="s">
        <v>12</v>
      </c>
      <c r="E11" s="95" t="s">
        <v>345</v>
      </c>
      <c r="F11" s="96" t="s">
        <v>58</v>
      </c>
      <c r="G11" s="97">
        <v>0.75</v>
      </c>
      <c r="H11" s="102"/>
      <c r="M11" s="92"/>
      <c r="N11" s="92"/>
      <c r="O11" s="92"/>
      <c r="V11" s="290"/>
      <c r="W11" s="292"/>
      <c r="X11" s="290"/>
      <c r="Y11" s="290"/>
      <c r="Z11" s="290"/>
      <c r="AA11" s="290"/>
      <c r="AB11" s="290"/>
      <c r="AC11" s="290"/>
      <c r="AD11" s="290"/>
      <c r="AE11" s="292"/>
    </row>
    <row r="12" spans="2:42" ht="33.75">
      <c r="B12" s="95">
        <v>10</v>
      </c>
      <c r="C12" s="103" t="s">
        <v>344</v>
      </c>
      <c r="D12" s="96" t="s">
        <v>12</v>
      </c>
      <c r="E12" s="95" t="s">
        <v>346</v>
      </c>
      <c r="F12" s="96" t="s">
        <v>13</v>
      </c>
      <c r="G12" s="97">
        <v>0.85</v>
      </c>
      <c r="H12" s="102"/>
      <c r="M12" s="92"/>
      <c r="N12" s="92"/>
      <c r="O12" s="92"/>
      <c r="V12" s="290"/>
      <c r="W12" s="292"/>
      <c r="X12" s="290"/>
      <c r="Y12" s="290"/>
      <c r="Z12" s="290"/>
      <c r="AA12" s="290"/>
      <c r="AB12" s="290"/>
      <c r="AC12" s="290"/>
      <c r="AD12" s="290"/>
      <c r="AE12" s="292"/>
    </row>
    <row r="13" spans="2:42" ht="50.25" customHeight="1">
      <c r="B13" s="95">
        <v>11</v>
      </c>
      <c r="C13" s="103" t="s">
        <v>344</v>
      </c>
      <c r="D13" s="96" t="s">
        <v>14</v>
      </c>
      <c r="E13" s="95" t="s">
        <v>347</v>
      </c>
      <c r="F13" s="96" t="s">
        <v>348</v>
      </c>
      <c r="G13" s="97">
        <v>1.1499999999999999</v>
      </c>
      <c r="H13" s="102"/>
      <c r="M13" s="92"/>
      <c r="N13" s="92"/>
      <c r="O13" s="92"/>
      <c r="V13" s="290"/>
      <c r="W13" s="292"/>
      <c r="X13" s="290"/>
      <c r="Y13" s="290"/>
      <c r="Z13" s="290"/>
      <c r="AA13" s="290"/>
      <c r="AB13" s="290"/>
      <c r="AC13" s="290"/>
      <c r="AD13" s="290"/>
      <c r="AE13" s="292"/>
    </row>
    <row r="14" spans="2:42" ht="45">
      <c r="B14" s="95">
        <v>12</v>
      </c>
      <c r="C14" s="103" t="s">
        <v>344</v>
      </c>
      <c r="D14" s="96" t="s">
        <v>55</v>
      </c>
      <c r="E14" s="95" t="s">
        <v>349</v>
      </c>
      <c r="F14" s="96" t="s">
        <v>15</v>
      </c>
      <c r="G14" s="97">
        <v>1.3</v>
      </c>
      <c r="H14" s="102"/>
      <c r="M14" s="92"/>
      <c r="N14" s="92"/>
      <c r="O14" s="92"/>
      <c r="V14" s="290"/>
      <c r="W14" s="292"/>
      <c r="X14" s="290"/>
      <c r="Y14" s="290"/>
      <c r="Z14" s="290"/>
      <c r="AA14" s="290"/>
      <c r="AB14" s="290"/>
      <c r="AC14" s="290"/>
      <c r="AD14" s="290"/>
      <c r="AE14" s="292"/>
      <c r="AK14" s="291"/>
      <c r="AL14" s="92">
        <f>0.0085/(0.03+10/POWER(150000,AK14))</f>
        <v>8.4745762711864415E-4</v>
      </c>
      <c r="AN14" s="92">
        <v>8.5000000000000006E-3</v>
      </c>
      <c r="AO14" s="92">
        <f>AN14/(0.03+10/POWER(150000,0.506))</f>
        <v>0.15729679895843104</v>
      </c>
    </row>
    <row r="15" spans="2:42">
      <c r="B15" s="95">
        <v>13</v>
      </c>
      <c r="C15" s="103" t="s">
        <v>238</v>
      </c>
      <c r="D15" s="101" t="s">
        <v>16</v>
      </c>
      <c r="E15" s="95" t="s">
        <v>17</v>
      </c>
      <c r="F15" s="101" t="s">
        <v>18</v>
      </c>
      <c r="G15" s="97">
        <v>0.4</v>
      </c>
      <c r="H15" s="102"/>
      <c r="M15" s="92"/>
      <c r="N15" s="92"/>
      <c r="O15" s="92"/>
      <c r="AD15" s="291"/>
      <c r="AF15" s="293"/>
      <c r="AG15" s="291"/>
      <c r="AI15" s="293"/>
      <c r="AK15" s="291"/>
      <c r="AL15" s="92">
        <f t="shared" ref="AL15:AL19" si="5">0.0085/(0.03+10/POWER(150000,AK15))</f>
        <v>8.4745762711864415E-4</v>
      </c>
      <c r="AM15" s="293">
        <f>(AL15-AL14)/AL14</f>
        <v>0</v>
      </c>
      <c r="AN15" s="291">
        <f>AN14+0.0001</f>
        <v>8.6E-3</v>
      </c>
      <c r="AO15" s="92">
        <f t="shared" ref="AO15:AO19" si="6">AN15/(0.03+10/POWER(150000,0.506))</f>
        <v>0.15914734953441259</v>
      </c>
      <c r="AP15" s="293">
        <f>(AO15-AO14)/AO14</f>
        <v>1.1764705882352972E-2</v>
      </c>
    </row>
    <row r="16" spans="2:42" ht="22.5">
      <c r="B16" s="95">
        <v>14</v>
      </c>
      <c r="C16" s="103" t="s">
        <v>19</v>
      </c>
      <c r="D16" s="96" t="s">
        <v>21</v>
      </c>
      <c r="E16" s="95" t="s">
        <v>20</v>
      </c>
      <c r="F16" s="96" t="s">
        <v>23</v>
      </c>
      <c r="G16" s="97">
        <v>0.65</v>
      </c>
      <c r="H16" s="102"/>
      <c r="M16" s="92"/>
      <c r="N16" s="92"/>
      <c r="O16" s="92"/>
      <c r="AD16" s="291"/>
      <c r="AF16" s="293"/>
      <c r="AG16" s="291"/>
      <c r="AI16" s="293"/>
      <c r="AK16" s="291"/>
      <c r="AL16" s="92">
        <f t="shared" si="5"/>
        <v>8.4745762711864415E-4</v>
      </c>
      <c r="AM16" s="293">
        <f t="shared" ref="AM16:AM19" si="7">(AL16-AL15)/AL15</f>
        <v>0</v>
      </c>
      <c r="AN16" s="291">
        <f t="shared" ref="AN16:AN19" si="8">AN15+0.0001</f>
        <v>8.6999999999999994E-3</v>
      </c>
      <c r="AO16" s="92">
        <f t="shared" si="6"/>
        <v>0.16099790011039411</v>
      </c>
      <c r="AP16" s="293">
        <f t="shared" ref="AP16:AP19" si="9">(AO16-AO15)/AO15</f>
        <v>1.1627906976744042E-2</v>
      </c>
    </row>
    <row r="17" spans="2:42" ht="22.5">
      <c r="B17" s="95">
        <v>15</v>
      </c>
      <c r="C17" s="103" t="s">
        <v>19</v>
      </c>
      <c r="D17" s="96" t="s">
        <v>21</v>
      </c>
      <c r="E17" s="95" t="s">
        <v>22</v>
      </c>
      <c r="F17" s="96" t="s">
        <v>24</v>
      </c>
      <c r="G17" s="97">
        <v>0.45</v>
      </c>
      <c r="H17" s="102"/>
      <c r="M17" s="92"/>
      <c r="N17" s="92"/>
      <c r="O17" s="92"/>
      <c r="AD17" s="291"/>
      <c r="AF17" s="293"/>
      <c r="AG17" s="291"/>
      <c r="AI17" s="293"/>
      <c r="AK17" s="291"/>
      <c r="AL17" s="92">
        <f t="shared" si="5"/>
        <v>8.4745762711864415E-4</v>
      </c>
      <c r="AM17" s="293">
        <f t="shared" si="7"/>
        <v>0</v>
      </c>
      <c r="AN17" s="291">
        <f t="shared" si="8"/>
        <v>8.7999999999999988E-3</v>
      </c>
      <c r="AO17" s="92">
        <f t="shared" si="6"/>
        <v>0.16284845068637563</v>
      </c>
      <c r="AP17" s="293">
        <f t="shared" si="9"/>
        <v>1.1494252873563078E-2</v>
      </c>
    </row>
    <row r="18" spans="2:42" ht="33.75">
      <c r="B18" s="95">
        <v>16</v>
      </c>
      <c r="C18" s="103" t="s">
        <v>19</v>
      </c>
      <c r="D18" s="96" t="s">
        <v>25</v>
      </c>
      <c r="E18" s="95" t="s">
        <v>350</v>
      </c>
      <c r="F18" s="96" t="s">
        <v>26</v>
      </c>
      <c r="G18" s="97">
        <v>0.65</v>
      </c>
      <c r="H18" s="102"/>
      <c r="M18" s="92"/>
      <c r="N18" s="92"/>
      <c r="O18" s="92"/>
      <c r="AD18" s="291"/>
      <c r="AF18" s="293"/>
      <c r="AG18" s="291"/>
      <c r="AI18" s="293"/>
      <c r="AK18" s="291"/>
      <c r="AL18" s="92">
        <f t="shared" si="5"/>
        <v>8.4745762711864415E-4</v>
      </c>
      <c r="AM18" s="293">
        <f t="shared" si="7"/>
        <v>0</v>
      </c>
      <c r="AN18" s="291">
        <f t="shared" si="8"/>
        <v>8.8999999999999982E-3</v>
      </c>
      <c r="AO18" s="92">
        <f t="shared" si="6"/>
        <v>0.16469900126235718</v>
      </c>
      <c r="AP18" s="293">
        <f t="shared" si="9"/>
        <v>1.1363636363636397E-2</v>
      </c>
    </row>
    <row r="19" spans="2:42" ht="33.75">
      <c r="B19" s="95">
        <v>17</v>
      </c>
      <c r="C19" s="103" t="s">
        <v>49</v>
      </c>
      <c r="D19" s="101" t="s">
        <v>27</v>
      </c>
      <c r="E19" s="95" t="s">
        <v>28</v>
      </c>
      <c r="F19" s="101" t="s">
        <v>29</v>
      </c>
      <c r="G19" s="97">
        <v>0.95</v>
      </c>
      <c r="H19" s="102"/>
      <c r="M19" s="92"/>
      <c r="N19" s="92"/>
      <c r="O19" s="92"/>
      <c r="AD19" s="291"/>
      <c r="AF19" s="293"/>
      <c r="AG19" s="291"/>
      <c r="AI19" s="293"/>
      <c r="AK19" s="291"/>
      <c r="AL19" s="92">
        <f t="shared" si="5"/>
        <v>8.4745762711864415E-4</v>
      </c>
      <c r="AM19" s="293">
        <f t="shared" si="7"/>
        <v>0</v>
      </c>
      <c r="AN19" s="291">
        <f t="shared" si="8"/>
        <v>8.9999999999999976E-3</v>
      </c>
      <c r="AO19" s="92">
        <f t="shared" si="6"/>
        <v>0.16654955183833869</v>
      </c>
      <c r="AP19" s="293">
        <f t="shared" si="9"/>
        <v>1.123595505617964E-2</v>
      </c>
    </row>
    <row r="20" spans="2:42" ht="45">
      <c r="B20" s="95">
        <v>18</v>
      </c>
      <c r="C20" s="103" t="s">
        <v>197</v>
      </c>
      <c r="D20" s="96" t="s">
        <v>30</v>
      </c>
      <c r="E20" s="95" t="s">
        <v>31</v>
      </c>
      <c r="F20" s="96" t="s">
        <v>32</v>
      </c>
      <c r="G20" s="97">
        <v>0.85</v>
      </c>
      <c r="H20" s="102"/>
      <c r="M20" s="92"/>
      <c r="N20" s="92"/>
      <c r="O20" s="92"/>
    </row>
    <row r="21" spans="2:42" ht="33.75">
      <c r="B21" s="95">
        <v>19</v>
      </c>
      <c r="C21" s="103" t="s">
        <v>197</v>
      </c>
      <c r="D21" s="96" t="s">
        <v>33</v>
      </c>
      <c r="E21" s="95" t="s">
        <v>34</v>
      </c>
      <c r="F21" s="96" t="s">
        <v>35</v>
      </c>
      <c r="G21" s="97">
        <v>0.85</v>
      </c>
      <c r="H21" s="102"/>
      <c r="M21" s="92"/>
      <c r="N21" s="92"/>
      <c r="O21" s="92"/>
    </row>
    <row r="22" spans="2:42" ht="33.75">
      <c r="B22" s="95">
        <v>20</v>
      </c>
      <c r="C22" s="103" t="s">
        <v>197</v>
      </c>
      <c r="D22" s="96" t="s">
        <v>36</v>
      </c>
      <c r="E22" s="95" t="s">
        <v>37</v>
      </c>
      <c r="F22" s="96" t="s">
        <v>38</v>
      </c>
      <c r="G22" s="97">
        <v>0.85</v>
      </c>
      <c r="H22" s="102"/>
      <c r="M22" s="92"/>
      <c r="N22" s="92"/>
      <c r="O22" s="92"/>
    </row>
    <row r="23" spans="2:42" ht="33.75">
      <c r="B23" s="95">
        <v>21</v>
      </c>
      <c r="C23" s="103" t="s">
        <v>197</v>
      </c>
      <c r="D23" s="96" t="s">
        <v>54</v>
      </c>
      <c r="E23" s="95" t="s">
        <v>351</v>
      </c>
      <c r="F23" s="96" t="s">
        <v>363</v>
      </c>
      <c r="G23" s="97">
        <v>0.85</v>
      </c>
      <c r="H23" s="102"/>
      <c r="M23" s="92"/>
      <c r="N23" s="92"/>
      <c r="O23" s="92"/>
    </row>
    <row r="24" spans="2:42" ht="56.25">
      <c r="B24" s="95">
        <v>22</v>
      </c>
      <c r="C24" s="96" t="s">
        <v>51</v>
      </c>
      <c r="D24" s="101" t="s">
        <v>53</v>
      </c>
      <c r="E24" s="95" t="s">
        <v>39</v>
      </c>
      <c r="F24" s="101" t="s">
        <v>40</v>
      </c>
      <c r="G24" s="97">
        <v>0.9</v>
      </c>
      <c r="H24" s="102"/>
      <c r="M24" s="92"/>
      <c r="N24" s="92"/>
      <c r="O24" s="92"/>
    </row>
    <row r="25" spans="2:42" ht="15">
      <c r="B25" s="106"/>
      <c r="C25" s="106"/>
      <c r="D25" s="106"/>
      <c r="E25" s="106"/>
      <c r="F25" s="106"/>
      <c r="G25" s="106"/>
      <c r="H25" s="102"/>
      <c r="M25" s="92"/>
      <c r="N25" s="92"/>
      <c r="O25" s="92"/>
    </row>
    <row r="26" spans="2:42" ht="15">
      <c r="B26" s="106"/>
      <c r="C26" s="106"/>
      <c r="D26" s="106"/>
      <c r="E26" s="106"/>
      <c r="F26" s="106"/>
      <c r="G26" s="106"/>
      <c r="H26" s="102"/>
      <c r="M26" s="92"/>
      <c r="N26" s="92"/>
      <c r="O26" s="92"/>
    </row>
    <row r="27" spans="2:42" ht="15">
      <c r="B27" s="106"/>
      <c r="C27" s="106"/>
      <c r="D27" s="106"/>
      <c r="E27" s="106"/>
      <c r="F27" s="106"/>
      <c r="G27" s="106"/>
      <c r="H27" s="102"/>
      <c r="M27" s="92"/>
      <c r="N27" s="92"/>
      <c r="O27" s="92"/>
    </row>
    <row r="28" spans="2:42" ht="15">
      <c r="B28" s="106"/>
      <c r="C28" s="106"/>
      <c r="D28" s="106"/>
      <c r="E28" s="106"/>
      <c r="F28" s="106"/>
      <c r="G28" s="106"/>
      <c r="H28" s="102"/>
      <c r="M28" s="92"/>
      <c r="N28" s="92"/>
      <c r="O28" s="92"/>
    </row>
    <row r="29" spans="2:42" ht="15">
      <c r="B29" s="106"/>
      <c r="C29" s="106"/>
      <c r="D29" s="106"/>
      <c r="E29" s="106"/>
      <c r="F29" s="106"/>
      <c r="G29" s="106"/>
      <c r="H29" s="102"/>
      <c r="M29" s="92"/>
      <c r="N29" s="92"/>
      <c r="O29" s="92"/>
    </row>
    <row r="30" spans="2:42" ht="15">
      <c r="B30" s="106"/>
      <c r="C30" s="106"/>
      <c r="D30" s="106"/>
      <c r="E30" s="106"/>
      <c r="F30" s="106"/>
      <c r="G30" s="106"/>
      <c r="H30" s="102"/>
      <c r="M30" s="92"/>
      <c r="N30" s="92"/>
      <c r="O30" s="92"/>
    </row>
    <row r="31" spans="2:42" ht="15">
      <c r="B31" s="106"/>
      <c r="C31" s="106"/>
      <c r="D31" s="106"/>
      <c r="E31" s="106"/>
      <c r="F31" s="106"/>
      <c r="G31" s="106"/>
      <c r="H31" s="102"/>
      <c r="M31" s="92"/>
      <c r="N31" s="92"/>
      <c r="O31" s="92"/>
    </row>
    <row r="32" spans="2:42" ht="15">
      <c r="B32" s="106"/>
      <c r="C32" s="106"/>
      <c r="D32" s="106"/>
      <c r="E32" s="106"/>
      <c r="F32" s="106"/>
      <c r="G32" s="106"/>
      <c r="H32" s="102"/>
      <c r="M32" s="92"/>
      <c r="N32" s="92"/>
      <c r="O32" s="92"/>
    </row>
    <row r="33" spans="2:15" ht="15">
      <c r="B33" s="106"/>
      <c r="C33" s="106"/>
      <c r="D33" s="106"/>
      <c r="E33" s="106"/>
      <c r="F33" s="106"/>
      <c r="G33" s="106"/>
      <c r="H33" s="102"/>
      <c r="M33" s="92"/>
      <c r="N33" s="92"/>
      <c r="O33" s="92"/>
    </row>
    <row r="34" spans="2:15" ht="15">
      <c r="B34" s="106"/>
      <c r="C34" s="106"/>
      <c r="D34" s="106"/>
      <c r="E34" s="106"/>
      <c r="F34" s="106"/>
      <c r="G34" s="106"/>
      <c r="H34" s="102"/>
      <c r="M34" s="92"/>
      <c r="N34" s="92"/>
      <c r="O34" s="92"/>
    </row>
    <row r="35" spans="2:15" ht="15">
      <c r="B35" s="106"/>
      <c r="C35" s="106"/>
      <c r="D35" s="106"/>
      <c r="E35" s="106"/>
      <c r="F35" s="106"/>
      <c r="G35" s="106"/>
      <c r="H35" s="102"/>
      <c r="M35" s="92"/>
      <c r="N35" s="92"/>
      <c r="O35" s="92"/>
    </row>
    <row r="36" spans="2:15" ht="15">
      <c r="B36" s="106"/>
      <c r="C36" s="106"/>
      <c r="D36" s="106"/>
      <c r="E36" s="106"/>
      <c r="F36" s="106"/>
      <c r="G36" s="106"/>
      <c r="H36" s="102"/>
      <c r="M36" s="92"/>
      <c r="N36" s="92"/>
      <c r="O36" s="92"/>
    </row>
    <row r="37" spans="2:15" ht="15">
      <c r="B37" s="106"/>
      <c r="C37" s="106"/>
      <c r="D37" s="106"/>
      <c r="E37" s="106"/>
      <c r="F37" s="106"/>
      <c r="G37" s="106"/>
      <c r="H37" s="102"/>
      <c r="M37" s="92"/>
      <c r="N37" s="92"/>
      <c r="O37" s="92"/>
    </row>
    <row r="38" spans="2:15" ht="15">
      <c r="B38" s="106"/>
      <c r="C38" s="106"/>
      <c r="D38" s="106"/>
      <c r="E38" s="106"/>
      <c r="F38" s="106"/>
      <c r="G38" s="106"/>
      <c r="H38" s="102"/>
      <c r="M38" s="92"/>
      <c r="N38" s="92"/>
      <c r="O38" s="92"/>
    </row>
    <row r="39" spans="2:15" ht="15">
      <c r="B39" s="106"/>
      <c r="C39" s="106"/>
      <c r="D39" s="106"/>
      <c r="E39" s="106"/>
      <c r="F39" s="106"/>
      <c r="G39" s="106"/>
      <c r="H39" s="102"/>
      <c r="M39" s="92"/>
      <c r="N39" s="92"/>
      <c r="O39" s="92"/>
    </row>
    <row r="40" spans="2:15" ht="15">
      <c r="B40" s="106"/>
      <c r="C40" s="106"/>
      <c r="D40" s="106"/>
      <c r="E40" s="106"/>
      <c r="F40" s="106"/>
      <c r="G40" s="106"/>
      <c r="H40" s="102"/>
      <c r="M40" s="92"/>
      <c r="N40" s="92"/>
      <c r="O40" s="92"/>
    </row>
    <row r="41" spans="2:15" ht="15">
      <c r="B41" s="106"/>
      <c r="C41" s="106"/>
      <c r="D41" s="106"/>
      <c r="E41" s="106"/>
      <c r="F41" s="106"/>
      <c r="G41" s="106"/>
      <c r="H41" s="102"/>
      <c r="M41" s="92"/>
      <c r="N41" s="92"/>
      <c r="O41" s="92"/>
    </row>
    <row r="42" spans="2:15" ht="15">
      <c r="B42" s="106"/>
      <c r="C42" s="106"/>
      <c r="D42" s="106"/>
      <c r="E42" s="106"/>
      <c r="F42" s="106"/>
      <c r="G42" s="106"/>
      <c r="H42" s="102"/>
      <c r="M42" s="92"/>
      <c r="N42" s="92"/>
      <c r="O42" s="92"/>
    </row>
    <row r="43" spans="2:15" ht="15">
      <c r="B43" s="106"/>
      <c r="C43" s="106"/>
      <c r="D43" s="106"/>
      <c r="E43" s="106"/>
      <c r="F43" s="106"/>
      <c r="G43" s="106"/>
      <c r="H43" s="102"/>
      <c r="M43" s="92"/>
      <c r="N43" s="92"/>
      <c r="O43" s="92"/>
    </row>
    <row r="44" spans="2:15" ht="15">
      <c r="B44" s="106"/>
      <c r="C44" s="106"/>
      <c r="D44" s="106"/>
      <c r="E44" s="106"/>
      <c r="F44" s="106"/>
      <c r="G44" s="106"/>
      <c r="H44" s="102"/>
      <c r="M44" s="92"/>
      <c r="N44" s="92"/>
      <c r="O44" s="92"/>
    </row>
    <row r="45" spans="2:15" ht="15">
      <c r="B45" s="106"/>
      <c r="C45" s="106"/>
      <c r="D45" s="106"/>
      <c r="E45" s="106"/>
      <c r="F45" s="106"/>
      <c r="G45" s="106"/>
      <c r="H45" s="102"/>
      <c r="M45" s="92"/>
      <c r="N45" s="92"/>
      <c r="O45" s="92"/>
    </row>
    <row r="46" spans="2:15" ht="15">
      <c r="B46" s="106"/>
      <c r="C46" s="106"/>
      <c r="D46" s="106"/>
      <c r="E46" s="106"/>
      <c r="F46" s="106"/>
      <c r="G46" s="106"/>
      <c r="H46" s="102"/>
      <c r="M46" s="92"/>
      <c r="N46" s="92"/>
      <c r="O46" s="92"/>
    </row>
    <row r="47" spans="2:15" ht="15">
      <c r="B47" s="106"/>
      <c r="C47" s="106"/>
      <c r="D47" s="106"/>
      <c r="E47" s="106"/>
      <c r="F47" s="106"/>
      <c r="G47" s="106"/>
      <c r="H47" s="102"/>
      <c r="M47" s="92"/>
      <c r="N47" s="92"/>
      <c r="O47" s="92"/>
    </row>
    <row r="48" spans="2:15" ht="15">
      <c r="B48" s="106"/>
      <c r="C48" s="106"/>
      <c r="D48" s="106"/>
      <c r="E48" s="106"/>
      <c r="F48" s="106"/>
      <c r="G48" s="106"/>
      <c r="H48" s="102"/>
      <c r="M48" s="92"/>
      <c r="N48" s="92"/>
      <c r="O48" s="92"/>
    </row>
    <row r="49" spans="2:15" ht="15">
      <c r="B49" s="106"/>
      <c r="C49" s="106"/>
      <c r="D49" s="106"/>
      <c r="E49" s="106"/>
      <c r="F49" s="106"/>
      <c r="G49" s="106"/>
      <c r="H49" s="102"/>
      <c r="M49" s="92"/>
      <c r="N49" s="92"/>
      <c r="O49" s="92"/>
    </row>
    <row r="50" spans="2:15" ht="15">
      <c r="B50" s="106"/>
      <c r="C50" s="106"/>
      <c r="D50" s="106"/>
      <c r="E50" s="106"/>
      <c r="F50" s="106"/>
      <c r="G50" s="106"/>
      <c r="H50" s="102"/>
      <c r="M50" s="92"/>
      <c r="N50" s="92"/>
      <c r="O50" s="92"/>
    </row>
    <row r="51" spans="2:15" ht="15">
      <c r="B51" s="106"/>
      <c r="C51" s="106"/>
      <c r="D51" s="106"/>
      <c r="E51" s="106"/>
      <c r="F51" s="106"/>
      <c r="G51" s="106"/>
      <c r="H51" s="102"/>
      <c r="M51" s="92"/>
      <c r="N51" s="92"/>
      <c r="O51" s="92"/>
    </row>
    <row r="52" spans="2:15" ht="15">
      <c r="B52" s="106"/>
      <c r="C52" s="106"/>
      <c r="D52" s="106"/>
      <c r="E52" s="106"/>
      <c r="F52" s="106"/>
      <c r="G52" s="106"/>
      <c r="H52" s="102"/>
      <c r="M52" s="92"/>
      <c r="N52" s="92"/>
      <c r="O52" s="92"/>
    </row>
    <row r="53" spans="2:15" ht="15">
      <c r="B53" s="106"/>
      <c r="C53" s="106"/>
      <c r="D53" s="106"/>
      <c r="E53" s="106"/>
      <c r="F53" s="106"/>
      <c r="G53" s="106"/>
      <c r="H53" s="102"/>
      <c r="M53" s="92"/>
      <c r="N53" s="92"/>
      <c r="O53" s="92"/>
    </row>
    <row r="54" spans="2:15" ht="15">
      <c r="B54" s="106"/>
      <c r="C54" s="106"/>
      <c r="D54" s="106"/>
      <c r="E54" s="106"/>
      <c r="F54" s="106"/>
      <c r="G54" s="106"/>
      <c r="H54" s="102"/>
      <c r="M54" s="92"/>
      <c r="N54" s="92"/>
      <c r="O54" s="92"/>
    </row>
    <row r="55" spans="2:15" ht="15">
      <c r="B55" s="106"/>
      <c r="C55" s="106"/>
      <c r="D55" s="106"/>
      <c r="E55" s="106"/>
      <c r="F55" s="106"/>
      <c r="G55" s="106"/>
      <c r="H55" s="102"/>
      <c r="M55" s="92"/>
      <c r="N55" s="92"/>
      <c r="O55" s="92"/>
    </row>
    <row r="56" spans="2:15" ht="15">
      <c r="B56" s="106"/>
      <c r="C56" s="106"/>
      <c r="D56" s="106"/>
      <c r="E56" s="106"/>
      <c r="F56" s="106"/>
      <c r="G56" s="106"/>
      <c r="H56" s="102"/>
      <c r="M56" s="92"/>
      <c r="N56" s="92"/>
      <c r="O56" s="92"/>
    </row>
    <row r="57" spans="2:15" ht="15">
      <c r="B57" s="106"/>
      <c r="C57" s="106"/>
      <c r="D57" s="106"/>
      <c r="E57" s="106"/>
      <c r="F57" s="106"/>
      <c r="G57" s="106"/>
      <c r="H57" s="102"/>
      <c r="M57" s="92"/>
      <c r="N57" s="92"/>
      <c r="O57" s="92"/>
    </row>
    <row r="58" spans="2:15" ht="15">
      <c r="B58" s="106"/>
      <c r="C58" s="106"/>
      <c r="D58" s="106"/>
      <c r="E58" s="106"/>
      <c r="F58" s="106"/>
      <c r="G58" s="106"/>
      <c r="H58" s="102"/>
      <c r="M58" s="92"/>
      <c r="N58" s="92"/>
      <c r="O58" s="92"/>
    </row>
    <row r="59" spans="2:15" ht="15">
      <c r="B59" s="106"/>
      <c r="C59" s="106"/>
      <c r="D59" s="106"/>
      <c r="E59" s="106"/>
      <c r="F59" s="106"/>
      <c r="G59" s="106"/>
      <c r="H59" s="102"/>
      <c r="M59" s="92"/>
      <c r="N59" s="92"/>
      <c r="O59" s="92"/>
    </row>
    <row r="60" spans="2:15" ht="15">
      <c r="B60" s="106"/>
      <c r="C60" s="106"/>
      <c r="D60" s="106"/>
      <c r="E60" s="106"/>
      <c r="F60" s="106"/>
      <c r="G60" s="106"/>
      <c r="H60" s="102"/>
      <c r="M60" s="92"/>
      <c r="N60" s="92"/>
      <c r="O60" s="92"/>
    </row>
    <row r="61" spans="2:15" ht="15">
      <c r="B61" s="106"/>
      <c r="C61" s="106"/>
      <c r="D61" s="106"/>
      <c r="E61" s="106"/>
      <c r="F61" s="106"/>
      <c r="G61" s="106"/>
      <c r="H61" s="102"/>
      <c r="M61" s="92"/>
      <c r="N61" s="92"/>
      <c r="O61" s="92"/>
    </row>
    <row r="62" spans="2:15" ht="15">
      <c r="B62" s="106"/>
      <c r="C62" s="106"/>
      <c r="D62" s="106"/>
      <c r="E62" s="106"/>
      <c r="F62" s="106"/>
      <c r="G62" s="106"/>
      <c r="H62" s="102"/>
      <c r="M62" s="92"/>
      <c r="N62" s="92"/>
      <c r="O62" s="92"/>
    </row>
    <row r="63" spans="2:15" ht="15">
      <c r="B63" s="106"/>
      <c r="C63" s="106"/>
      <c r="D63" s="106"/>
      <c r="E63" s="106"/>
      <c r="F63" s="106"/>
      <c r="G63" s="106"/>
      <c r="H63" s="102"/>
      <c r="M63" s="92"/>
      <c r="N63" s="92"/>
      <c r="O63" s="92"/>
    </row>
    <row r="64" spans="2:15" ht="15">
      <c r="B64" s="106"/>
      <c r="C64" s="106"/>
      <c r="D64" s="106"/>
      <c r="E64" s="106"/>
      <c r="F64" s="106"/>
      <c r="G64" s="106"/>
      <c r="H64" s="102"/>
      <c r="M64" s="92"/>
      <c r="N64" s="92"/>
      <c r="O64" s="92"/>
    </row>
    <row r="65" spans="2:15" ht="15">
      <c r="B65" s="106"/>
      <c r="C65" s="106"/>
      <c r="D65" s="106"/>
      <c r="E65" s="106"/>
      <c r="F65" s="106"/>
      <c r="G65" s="106"/>
      <c r="H65" s="102"/>
      <c r="M65" s="92"/>
      <c r="N65" s="92"/>
      <c r="O65" s="92"/>
    </row>
    <row r="66" spans="2:15" ht="15">
      <c r="B66" s="106"/>
      <c r="C66" s="106"/>
      <c r="D66" s="106"/>
      <c r="E66" s="106"/>
      <c r="F66" s="106"/>
      <c r="G66" s="106"/>
      <c r="H66" s="102"/>
      <c r="M66" s="92"/>
      <c r="N66" s="92"/>
      <c r="O66" s="92"/>
    </row>
    <row r="67" spans="2:15" ht="15">
      <c r="B67" s="106"/>
      <c r="C67" s="106"/>
      <c r="D67" s="106"/>
      <c r="E67" s="106"/>
      <c r="F67" s="106"/>
      <c r="G67" s="106"/>
      <c r="H67" s="102"/>
      <c r="M67" s="92"/>
      <c r="N67" s="92"/>
      <c r="O67" s="92"/>
    </row>
    <row r="68" spans="2:15" ht="15">
      <c r="B68" s="106"/>
      <c r="C68" s="106"/>
      <c r="D68" s="106"/>
      <c r="E68" s="106"/>
      <c r="F68" s="106"/>
      <c r="G68" s="106"/>
      <c r="H68" s="102"/>
      <c r="M68" s="92"/>
      <c r="N68" s="92"/>
      <c r="O68" s="92"/>
    </row>
    <row r="69" spans="2:15">
      <c r="M69" s="92"/>
      <c r="N69" s="92"/>
      <c r="O69" s="92"/>
    </row>
    <row r="70" spans="2:15">
      <c r="M70" s="92"/>
      <c r="N70" s="92"/>
      <c r="O70" s="92"/>
    </row>
    <row r="71" spans="2:15">
      <c r="M71" s="92"/>
      <c r="N71" s="92"/>
      <c r="O71" s="92"/>
    </row>
  </sheetData>
  <sheetProtection password="CCF4" sheet="1" objects="1" scenarios="1"/>
  <sortState ref="B5:G26">
    <sortCondition ref="B5:B26"/>
  </sortState>
  <mergeCells count="11">
    <mergeCell ref="K4:K6"/>
    <mergeCell ref="K7:K9"/>
    <mergeCell ref="B1:G1"/>
    <mergeCell ref="I1:P1"/>
    <mergeCell ref="I2:J3"/>
    <mergeCell ref="M2:M3"/>
    <mergeCell ref="N2:N3"/>
    <mergeCell ref="O2:O3"/>
    <mergeCell ref="K2:K3"/>
    <mergeCell ref="L4:L6"/>
    <mergeCell ref="L7:L9"/>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sheetPr codeName="Foglio3"/>
  <dimension ref="A2:AS140"/>
  <sheetViews>
    <sheetView topLeftCell="A91" zoomScaleNormal="100" workbookViewId="0">
      <selection activeCell="A6" sqref="A6:A15"/>
    </sheetView>
  </sheetViews>
  <sheetFormatPr defaultRowHeight="15"/>
  <cols>
    <col min="6" max="6" width="12" bestFit="1" customWidth="1"/>
    <col min="8" max="8" width="12.28515625" customWidth="1"/>
    <col min="25" max="25" width="11.7109375" customWidth="1"/>
  </cols>
  <sheetData>
    <row r="2" spans="1:45" s="1" customFormat="1">
      <c r="A2" s="405" t="s">
        <v>389</v>
      </c>
      <c r="B2" s="405"/>
      <c r="C2" s="405"/>
      <c r="D2" s="405"/>
      <c r="E2" s="405"/>
      <c r="F2" s="405"/>
      <c r="G2" s="405"/>
      <c r="H2" s="405"/>
      <c r="I2" s="405"/>
      <c r="J2" s="405"/>
      <c r="K2" s="405"/>
      <c r="L2" s="405"/>
      <c r="M2" s="405"/>
      <c r="N2" s="405"/>
      <c r="O2" s="405"/>
      <c r="P2" s="405"/>
      <c r="Q2" s="405"/>
      <c r="R2" s="405"/>
      <c r="S2" s="405"/>
      <c r="T2" s="405"/>
      <c r="U2" s="405"/>
      <c r="V2" s="405"/>
    </row>
    <row r="3" spans="1:45" s="1" customFormat="1">
      <c r="A3" s="332" t="s">
        <v>59</v>
      </c>
      <c r="B3" s="332"/>
      <c r="C3" s="332" t="s">
        <v>60</v>
      </c>
      <c r="D3" s="332"/>
      <c r="E3" s="332"/>
      <c r="F3" s="332"/>
      <c r="G3" s="332" t="s">
        <v>61</v>
      </c>
      <c r="H3" s="332"/>
      <c r="I3" s="332"/>
      <c r="J3" s="332"/>
      <c r="K3" s="332"/>
      <c r="L3" s="332"/>
      <c r="M3" s="332"/>
      <c r="N3" s="332"/>
      <c r="O3" s="332"/>
      <c r="P3" s="332"/>
      <c r="Q3" s="332"/>
      <c r="R3" s="332"/>
      <c r="S3" s="332"/>
      <c r="T3" s="332"/>
      <c r="U3" s="332"/>
      <c r="V3" s="332"/>
    </row>
    <row r="4" spans="1:45" s="1" customFormat="1" ht="15" customHeight="1">
      <c r="A4" s="332"/>
      <c r="B4" s="332"/>
      <c r="C4" s="332"/>
      <c r="D4" s="332"/>
      <c r="E4" s="332"/>
      <c r="F4" s="332"/>
      <c r="G4" s="332" t="s">
        <v>41</v>
      </c>
      <c r="H4" s="332"/>
      <c r="I4" s="332" t="s">
        <v>4</v>
      </c>
      <c r="J4" s="332"/>
      <c r="K4" s="332" t="s">
        <v>11</v>
      </c>
      <c r="L4" s="332"/>
      <c r="M4" s="332" t="s">
        <v>89</v>
      </c>
      <c r="N4" s="332"/>
      <c r="O4" s="332" t="s">
        <v>19</v>
      </c>
      <c r="P4" s="332"/>
      <c r="Q4" s="332" t="s">
        <v>49</v>
      </c>
      <c r="R4" s="332"/>
      <c r="S4" s="332" t="s">
        <v>197</v>
      </c>
      <c r="T4" s="332"/>
      <c r="U4" s="332" t="s">
        <v>51</v>
      </c>
      <c r="V4" s="332"/>
    </row>
    <row r="5" spans="1:45" s="1" customFormat="1">
      <c r="A5" s="2"/>
      <c r="B5" s="2"/>
      <c r="C5" s="64"/>
      <c r="D5" s="64"/>
      <c r="E5" s="2"/>
      <c r="F5" s="2"/>
      <c r="G5" s="3" t="s">
        <v>323</v>
      </c>
      <c r="H5" s="35" t="s">
        <v>324</v>
      </c>
      <c r="I5" s="3" t="s">
        <v>323</v>
      </c>
      <c r="J5" s="3" t="s">
        <v>324</v>
      </c>
      <c r="K5" s="3" t="s">
        <v>323</v>
      </c>
      <c r="L5" s="3" t="s">
        <v>324</v>
      </c>
      <c r="M5" s="3" t="s">
        <v>323</v>
      </c>
      <c r="N5" s="3" t="s">
        <v>324</v>
      </c>
      <c r="O5" s="3" t="s">
        <v>323</v>
      </c>
      <c r="P5" s="3" t="s">
        <v>324</v>
      </c>
      <c r="Q5" s="3" t="s">
        <v>323</v>
      </c>
      <c r="R5" s="3" t="s">
        <v>324</v>
      </c>
      <c r="S5" s="3" t="s">
        <v>323</v>
      </c>
      <c r="T5" s="3" t="s">
        <v>324</v>
      </c>
      <c r="U5" s="3" t="s">
        <v>323</v>
      </c>
      <c r="V5" s="3" t="s">
        <v>324</v>
      </c>
    </row>
    <row r="6" spans="1:45" s="1" customFormat="1" ht="15" customHeight="1">
      <c r="A6" s="359" t="s">
        <v>83</v>
      </c>
      <c r="B6" s="401" t="s">
        <v>80</v>
      </c>
      <c r="C6" s="196" t="s">
        <v>64</v>
      </c>
      <c r="D6" s="403" t="s">
        <v>65</v>
      </c>
      <c r="E6" s="403"/>
      <c r="F6" s="403"/>
      <c r="G6" s="29">
        <v>4.4999999999999998E-2</v>
      </c>
      <c r="H6" s="32">
        <f>IF('SPESE TEC. AMBITO A'!$E18="X",1,0)*'SPESE TEC. AMBITO A'!G$4*'SPESE TEC. AMBITO A'!G$7*'SPESE TEC. AMBITO A'!G$9*'SPESE TEC. AMBITO A'!G$11*G6*1</f>
        <v>633.16222160891425</v>
      </c>
      <c r="I6" s="29">
        <v>4.4999999999999998E-2</v>
      </c>
      <c r="J6" s="32">
        <f>IF('SPESE TEC. AMBITO A'!$H18="X",1,0)*'SPESE TEC. AMBITO A'!H$4*'SPESE TEC. AMBITO A'!H$7*'SPESE TEC. AMBITO A'!H$9*'SPESE TEC. AMBITO A'!H$11*I6*1</f>
        <v>0</v>
      </c>
      <c r="K6" s="29">
        <v>4.4999999999999998E-2</v>
      </c>
      <c r="L6" s="32">
        <f>IF('SPESE TEC. AMBITO A'!$K18="X",1,0)*'SPESE TEC. AMBITO A'!I$4*'SPESE TEC. AMBITO A'!I$7*'SPESE TEC. AMBITO A'!I$9*'SPESE TEC. AMBITO A'!I$11*K6*1</f>
        <v>0</v>
      </c>
      <c r="M6" s="29">
        <v>0.04</v>
      </c>
      <c r="N6" s="32">
        <f>IF('SPESE TEC. AMBITO A'!$N18="X",1,0)*'SPESE TEC. AMBITO A'!J$4*'SPESE TEC. AMBITO A'!J$7*'SPESE TEC. AMBITO A'!J$9*'SPESE TEC. AMBITO A'!J$11*M6*1</f>
        <v>0</v>
      </c>
      <c r="O6" s="30">
        <v>3.5000000000000003E-2</v>
      </c>
      <c r="P6" s="31"/>
      <c r="Q6" s="29">
        <v>0.05</v>
      </c>
      <c r="R6" s="31"/>
      <c r="S6" s="29">
        <v>0.04</v>
      </c>
      <c r="T6" s="32">
        <f>IF('SPESE TEC. AMBITO A'!$Q18="X",1,0)*'SPESE TEC. AMBITO A'!M$4*'SPESE TEC. AMBITO A'!M$7*'SPESE TEC. AMBITO A'!M$9*'SPESE TEC. AMBITO A'!M$11*S6*1</f>
        <v>0</v>
      </c>
      <c r="U6" s="31"/>
      <c r="V6" s="32">
        <f>IF('SPESE TEC. AMBITO A'!$T18="X",1,0)*'SPESE TEC. AMBITO A'!N$4*'SPESE TEC. AMBITO A'!N$7*'SPESE TEC. AMBITO A'!N$9*'SPESE TEC. AMBITO A'!N$11*U6*1</f>
        <v>0</v>
      </c>
      <c r="W6"/>
      <c r="Y6" s="42"/>
      <c r="Z6" s="42"/>
      <c r="AA6" s="42"/>
      <c r="AB6" s="42"/>
      <c r="AC6" s="42"/>
      <c r="AD6" s="42"/>
    </row>
    <row r="7" spans="1:45" s="1" customFormat="1" ht="15" customHeight="1">
      <c r="A7" s="359"/>
      <c r="B7" s="402"/>
      <c r="C7" s="196" t="s">
        <v>66</v>
      </c>
      <c r="D7" s="403" t="s">
        <v>67</v>
      </c>
      <c r="E7" s="403"/>
      <c r="F7" s="403"/>
      <c r="G7" s="29">
        <v>0.09</v>
      </c>
      <c r="H7" s="32">
        <f>IF('SPESE TEC. AMBITO A'!$E19="X",1,0)*'SPESE TEC. AMBITO A'!G$4*'SPESE TEC. AMBITO A'!G$7*'SPESE TEC. AMBITO A'!G$9*'SPESE TEC. AMBITO A'!G$11*G7*1</f>
        <v>0</v>
      </c>
      <c r="I7" s="29">
        <v>0.09</v>
      </c>
      <c r="J7" s="32">
        <f>IF('SPESE TEC. AMBITO A'!$H19="X",1,0)*'SPESE TEC. AMBITO A'!H$4*'SPESE TEC. AMBITO A'!H$7*'SPESE TEC. AMBITO A'!H$9*'SPESE TEC. AMBITO A'!H$11*I7*1</f>
        <v>0</v>
      </c>
      <c r="K7" s="29">
        <v>0.09</v>
      </c>
      <c r="L7" s="32">
        <f>IF('SPESE TEC. AMBITO A'!$K19="X",1,0)*'SPESE TEC. AMBITO A'!I$4*'SPESE TEC. AMBITO A'!I$7*'SPESE TEC. AMBITO A'!I$9*'SPESE TEC. AMBITO A'!I$11*K7*1</f>
        <v>0</v>
      </c>
      <c r="M7" s="29">
        <v>0.08</v>
      </c>
      <c r="N7" s="32">
        <f>IF('SPESE TEC. AMBITO A'!$N19="X",1,0)*'SPESE TEC. AMBITO A'!J$4*'SPESE TEC. AMBITO A'!J$7*'SPESE TEC. AMBITO A'!J$9*'SPESE TEC. AMBITO A'!J$11*M7*1</f>
        <v>0</v>
      </c>
      <c r="O7" s="29">
        <v>7.0000000000000007E-2</v>
      </c>
      <c r="P7" s="31"/>
      <c r="Q7" s="29">
        <v>0.1</v>
      </c>
      <c r="R7" s="31"/>
      <c r="S7" s="29">
        <v>0.08</v>
      </c>
      <c r="T7" s="32">
        <f>IF('SPESE TEC. AMBITO A'!$Q19="X",1,0)*'SPESE TEC. AMBITO A'!M$4*'SPESE TEC. AMBITO A'!M$7*'SPESE TEC. AMBITO A'!M$9*'SPESE TEC. AMBITO A'!M$11*S7*1</f>
        <v>0</v>
      </c>
      <c r="U7" s="31"/>
      <c r="V7" s="32">
        <f>IF('SPESE TEC. AMBITO A'!$T19="X",1,0)*'SPESE TEC. AMBITO A'!N$4*'SPESE TEC. AMBITO A'!N$7*'SPESE TEC. AMBITO A'!N$9*'SPESE TEC. AMBITO A'!N$11*U7*1</f>
        <v>0</v>
      </c>
      <c r="W7"/>
    </row>
    <row r="8" spans="1:45" s="1" customFormat="1" ht="15" customHeight="1">
      <c r="A8" s="359"/>
      <c r="B8" s="402"/>
      <c r="C8" s="196" t="s">
        <v>68</v>
      </c>
      <c r="D8" s="403" t="s">
        <v>69</v>
      </c>
      <c r="E8" s="403"/>
      <c r="F8" s="403"/>
      <c r="G8" s="29">
        <v>0.02</v>
      </c>
      <c r="H8" s="32">
        <f>IF('SPESE TEC. AMBITO A'!$E20="X",1,0)*'SPESE TEC. AMBITO A'!G$4*'SPESE TEC. AMBITO A'!G$7*'SPESE TEC. AMBITO A'!G$9*'SPESE TEC. AMBITO A'!G$11*G8*1</f>
        <v>0</v>
      </c>
      <c r="I8" s="29">
        <v>0.02</v>
      </c>
      <c r="J8" s="32">
        <f>IF('SPESE TEC. AMBITO A'!$H20="X",1,0)*'SPESE TEC. AMBITO A'!H$4*'SPESE TEC. AMBITO A'!H$7*'SPESE TEC. AMBITO A'!H$9*'SPESE TEC. AMBITO A'!H$11*I8*1</f>
        <v>0</v>
      </c>
      <c r="K8" s="29">
        <v>0.02</v>
      </c>
      <c r="L8" s="32">
        <f>IF('SPESE TEC. AMBITO A'!$K20="X",1,0)*'SPESE TEC. AMBITO A'!I$4*'SPESE TEC. AMBITO A'!I$7*'SPESE TEC. AMBITO A'!I$9*'SPESE TEC. AMBITO A'!I$11*K8*1</f>
        <v>0</v>
      </c>
      <c r="M8" s="29">
        <v>0.02</v>
      </c>
      <c r="N8" s="32">
        <f>IF('SPESE TEC. AMBITO A'!$N20="X",1,0)*'SPESE TEC. AMBITO A'!J$4*'SPESE TEC. AMBITO A'!J$7*'SPESE TEC. AMBITO A'!J$9*'SPESE TEC. AMBITO A'!J$11*M8*1</f>
        <v>0</v>
      </c>
      <c r="O8" s="29">
        <v>0.02</v>
      </c>
      <c r="P8" s="31"/>
      <c r="Q8" s="29">
        <v>0.02</v>
      </c>
      <c r="R8" s="31"/>
      <c r="S8" s="29">
        <v>0.02</v>
      </c>
      <c r="T8" s="32">
        <f>IF('SPESE TEC. AMBITO A'!$Q20="X",1,0)*'SPESE TEC. AMBITO A'!M$4*'SPESE TEC. AMBITO A'!M$7*'SPESE TEC. AMBITO A'!M$9*'SPESE TEC. AMBITO A'!M$11*S8*1</f>
        <v>0</v>
      </c>
      <c r="U8" s="31"/>
      <c r="V8" s="32">
        <f>IF('SPESE TEC. AMBITO A'!$T20="X",1,0)*'SPESE TEC. AMBITO A'!N$4*'SPESE TEC. AMBITO A'!N$7*'SPESE TEC. AMBITO A'!N$9*'SPESE TEC. AMBITO A'!N$11*U8*1</f>
        <v>0</v>
      </c>
      <c r="W8"/>
    </row>
    <row r="9" spans="1:45" s="1" customFormat="1" ht="15" customHeight="1">
      <c r="A9" s="359"/>
      <c r="B9" s="401" t="s">
        <v>81</v>
      </c>
      <c r="C9" s="196" t="s">
        <v>70</v>
      </c>
      <c r="D9" s="403" t="s">
        <v>85</v>
      </c>
      <c r="E9" s="404"/>
      <c r="F9" s="404"/>
      <c r="G9" s="29">
        <v>0.04</v>
      </c>
      <c r="H9" s="32">
        <f>IF('SPESE TEC. AMBITO A'!$E21="X",1,0)*'SPESE TEC. AMBITO A'!G$4*'SPESE TEC. AMBITO A'!G$7*'SPESE TEC. AMBITO A'!G$9*'SPESE TEC. AMBITO A'!G$11*G9*1</f>
        <v>0</v>
      </c>
      <c r="I9" s="29">
        <v>0.04</v>
      </c>
      <c r="J9" s="32">
        <f>IF('SPESE TEC. AMBITO A'!$H21="X",1,0)*'SPESE TEC. AMBITO A'!H$4*'SPESE TEC. AMBITO A'!H$7*'SPESE TEC. AMBITO A'!H$9*'SPESE TEC. AMBITO A'!H$11*I9*1</f>
        <v>0</v>
      </c>
      <c r="K9" s="29">
        <v>0.04</v>
      </c>
      <c r="L9" s="32">
        <f>IF('SPESE TEC. AMBITO A'!$K21="X",1,0)*'SPESE TEC. AMBITO A'!I$4*'SPESE TEC. AMBITO A'!I$7*'SPESE TEC. AMBITO A'!I$9*'SPESE TEC. AMBITO A'!I$11*K9*1</f>
        <v>0</v>
      </c>
      <c r="M9" s="29">
        <v>0.04</v>
      </c>
      <c r="N9" s="32">
        <f>IF('SPESE TEC. AMBITO A'!$N21="X",1,0)*'SPESE TEC. AMBITO A'!J$4*'SPESE TEC. AMBITO A'!J$7*'SPESE TEC. AMBITO A'!J$9*'SPESE TEC. AMBITO A'!J$11*M9*1</f>
        <v>0</v>
      </c>
      <c r="O9" s="29">
        <v>0.04</v>
      </c>
      <c r="P9" s="31"/>
      <c r="Q9" s="29">
        <v>0.04</v>
      </c>
      <c r="R9" s="31"/>
      <c r="S9" s="30">
        <v>0.04</v>
      </c>
      <c r="T9" s="32">
        <f>IF('SPESE TEC. AMBITO A'!$Q21="X",1,0)*'SPESE TEC. AMBITO A'!M$4*'SPESE TEC. AMBITO A'!M$7*'SPESE TEC. AMBITO A'!M$9*'SPESE TEC. AMBITO A'!M$11*S9*1</f>
        <v>0</v>
      </c>
      <c r="U9" s="31"/>
      <c r="V9" s="32">
        <f>IF('SPESE TEC. AMBITO A'!$T21="X",1,0)*'SPESE TEC. AMBITO A'!N$4*'SPESE TEC. AMBITO A'!N$7*'SPESE TEC. AMBITO A'!N$9*'SPESE TEC. AMBITO A'!N$11*U9*1</f>
        <v>0</v>
      </c>
      <c r="W9"/>
    </row>
    <row r="10" spans="1:45" s="1" customFormat="1" ht="15" customHeight="1">
      <c r="A10" s="359"/>
      <c r="B10" s="401"/>
      <c r="C10" s="196" t="s">
        <v>71</v>
      </c>
      <c r="D10" s="403" t="s">
        <v>86</v>
      </c>
      <c r="E10" s="404"/>
      <c r="F10" s="404"/>
      <c r="G10" s="29">
        <v>0.08</v>
      </c>
      <c r="H10" s="32">
        <f>IF('SPESE TEC. AMBITO A'!$E22="X",1,0)*'SPESE TEC. AMBITO A'!G$4*'SPESE TEC. AMBITO A'!G$7*'SPESE TEC. AMBITO A'!G$9*'SPESE TEC. AMBITO A'!G$11*G10*1</f>
        <v>0</v>
      </c>
      <c r="I10" s="29">
        <v>0.08</v>
      </c>
      <c r="J10" s="32">
        <f>IF('SPESE TEC. AMBITO A'!$H22="X",1,0)*'SPESE TEC. AMBITO A'!H$4*'SPESE TEC. AMBITO A'!H$7*'SPESE TEC. AMBITO A'!H$9*'SPESE TEC. AMBITO A'!H$11*I10*1</f>
        <v>0</v>
      </c>
      <c r="K10" s="29">
        <v>0.08</v>
      </c>
      <c r="L10" s="32">
        <f>IF('SPESE TEC. AMBITO A'!$K22="X",1,0)*'SPESE TEC. AMBITO A'!I$4*'SPESE TEC. AMBITO A'!I$7*'SPESE TEC. AMBITO A'!I$9*'SPESE TEC. AMBITO A'!I$11*K10*1</f>
        <v>0</v>
      </c>
      <c r="M10" s="29">
        <v>0.08</v>
      </c>
      <c r="N10" s="32">
        <f>IF('SPESE TEC. AMBITO A'!$N22="X",1,0)*'SPESE TEC. AMBITO A'!J$4*'SPESE TEC. AMBITO A'!J$7*'SPESE TEC. AMBITO A'!J$9*'SPESE TEC. AMBITO A'!J$11*M10*1</f>
        <v>0</v>
      </c>
      <c r="O10" s="29">
        <v>0.08</v>
      </c>
      <c r="P10" s="31"/>
      <c r="Q10" s="29">
        <v>0.08</v>
      </c>
      <c r="R10" s="31"/>
      <c r="S10" s="30">
        <v>0.09</v>
      </c>
      <c r="T10" s="32">
        <f>IF('SPESE TEC. AMBITO A'!$Q22="X",1,0)*'SPESE TEC. AMBITO A'!M$4*'SPESE TEC. AMBITO A'!M$7*'SPESE TEC. AMBITO A'!M$9*'SPESE TEC. AMBITO A'!M$11*S10*1</f>
        <v>0</v>
      </c>
      <c r="U10" s="30">
        <v>2.9999999999999997E-4</v>
      </c>
      <c r="V10" s="284">
        <f>IF('SPESE TEC. AMBITO A'!$T22="X",1,0)*'SPESE TEC. AMBITO A'!N$4*'SPESE TEC. AMBITO A'!N$7*'SPESE TEC. AMBITO A'!N$9*'SPESE TEC. AMBITO A'!N$11*U10*1</f>
        <v>0</v>
      </c>
      <c r="W10"/>
    </row>
    <row r="11" spans="1:45" s="1" customFormat="1" ht="15" customHeight="1">
      <c r="A11" s="359"/>
      <c r="B11" s="401"/>
      <c r="C11" s="196" t="s">
        <v>72</v>
      </c>
      <c r="D11" s="403" t="s">
        <v>87</v>
      </c>
      <c r="E11" s="404"/>
      <c r="F11" s="404"/>
      <c r="G11" s="29">
        <v>0.16</v>
      </c>
      <c r="H11" s="32">
        <f>IF('SPESE TEC. AMBITO A'!$E23="X",1,0)*'SPESE TEC. AMBITO A'!G$4*'SPESE TEC. AMBITO A'!G$7*'SPESE TEC. AMBITO A'!G$9*'SPESE TEC. AMBITO A'!G$11*G11*1</f>
        <v>0</v>
      </c>
      <c r="I11" s="29">
        <v>0.16</v>
      </c>
      <c r="J11" s="32">
        <f>IF('SPESE TEC. AMBITO A'!$H23="X",1,0)*'SPESE TEC. AMBITO A'!H$4*'SPESE TEC. AMBITO A'!H$7*'SPESE TEC. AMBITO A'!H$9*'SPESE TEC. AMBITO A'!H$11*I11*1</f>
        <v>0</v>
      </c>
      <c r="K11" s="29">
        <v>0.16</v>
      </c>
      <c r="L11" s="32">
        <f>IF('SPESE TEC. AMBITO A'!$K23="X",1,0)*'SPESE TEC. AMBITO A'!I$4*'SPESE TEC. AMBITO A'!I$7*'SPESE TEC. AMBITO A'!I$9*'SPESE TEC. AMBITO A'!I$11*K11*1</f>
        <v>0</v>
      </c>
      <c r="M11" s="29">
        <v>0.16</v>
      </c>
      <c r="N11" s="32">
        <f>IF('SPESE TEC. AMBITO A'!$N23="X",1,0)*'SPESE TEC. AMBITO A'!J$4*'SPESE TEC. AMBITO A'!J$7*'SPESE TEC. AMBITO A'!J$9*'SPESE TEC. AMBITO A'!J$11*M11*1</f>
        <v>0</v>
      </c>
      <c r="O11" s="29">
        <v>0.16</v>
      </c>
      <c r="P11" s="31"/>
      <c r="Q11" s="29">
        <v>0.16</v>
      </c>
      <c r="R11" s="31"/>
      <c r="S11" s="30">
        <v>0.16</v>
      </c>
      <c r="T11" s="32">
        <f>IF('SPESE TEC. AMBITO A'!$Q23="X",1,0)*'SPESE TEC. AMBITO A'!M$4*'SPESE TEC. AMBITO A'!M$7*'SPESE TEC. AMBITO A'!M$9*'SPESE TEC. AMBITO A'!M$11*S11*1</f>
        <v>0</v>
      </c>
      <c r="U11" s="29">
        <v>2.5000000000000001E-4</v>
      </c>
      <c r="V11" s="284">
        <f>IF('SPESE TEC. AMBITO A'!$T23="X",1,0)*'SPESE TEC. AMBITO A'!N$4*'SPESE TEC. AMBITO A'!N$7*'SPESE TEC. AMBITO A'!N$9*'SPESE TEC. AMBITO A'!N$11*U11*1</f>
        <v>0</v>
      </c>
      <c r="W11"/>
      <c r="Z11" s="181"/>
      <c r="AA11" s="181"/>
      <c r="AB11" s="181"/>
      <c r="AC11" s="181"/>
      <c r="AD11" s="181"/>
      <c r="AE11" s="181"/>
      <c r="AF11" s="181"/>
      <c r="AG11" s="181"/>
      <c r="AH11" s="181"/>
      <c r="AI11" s="181"/>
      <c r="AJ11" s="181"/>
      <c r="AK11" s="181"/>
      <c r="AL11" s="181"/>
      <c r="AM11" s="181"/>
      <c r="AN11" s="181"/>
      <c r="AO11" s="181"/>
      <c r="AP11" s="181"/>
      <c r="AQ11" s="181"/>
      <c r="AR11" s="181"/>
      <c r="AS11" s="181"/>
    </row>
    <row r="12" spans="1:45" s="1" customFormat="1" ht="15" customHeight="1">
      <c r="A12" s="359"/>
      <c r="B12" s="401" t="s">
        <v>73</v>
      </c>
      <c r="C12" s="196" t="s">
        <v>74</v>
      </c>
      <c r="D12" s="403" t="s">
        <v>315</v>
      </c>
      <c r="E12" s="404"/>
      <c r="F12" s="404"/>
      <c r="G12" s="31"/>
      <c r="H12" s="32">
        <f>IF('SPESE TEC. AMBITO A'!$E24="X",1,0)*'SPESE TEC. AMBITO A'!G$4*'SPESE TEC. AMBITO A'!G$7*'SPESE TEC. AMBITO A'!G$9*'SPESE TEC. AMBITO A'!G$11*G12*1</f>
        <v>0</v>
      </c>
      <c r="I12" s="31"/>
      <c r="J12" s="32">
        <f>IF('SPESE TEC. AMBITO A'!$H24="X",1,0)*'SPESE TEC. AMBITO A'!H$4*'SPESE TEC. AMBITO A'!H$7*'SPESE TEC. AMBITO A'!H$9*'SPESE TEC. AMBITO A'!H$11*I12*1</f>
        <v>0</v>
      </c>
      <c r="K12" s="31"/>
      <c r="L12" s="32">
        <f>IF('SPESE TEC. AMBITO A'!$K24="X",1,0)*'SPESE TEC. AMBITO A'!I$4*'SPESE TEC. AMBITO A'!I$7*'SPESE TEC. AMBITO A'!I$9*'SPESE TEC. AMBITO A'!I$11*K12*1</f>
        <v>0</v>
      </c>
      <c r="M12" s="31"/>
      <c r="N12" s="32">
        <f>IF('SPESE TEC. AMBITO A'!$N24="X",1,0)*'SPESE TEC. AMBITO A'!J$4*'SPESE TEC. AMBITO A'!J$7*'SPESE TEC. AMBITO A'!J$9*'SPESE TEC. AMBITO A'!J$11*M12*1</f>
        <v>0</v>
      </c>
      <c r="O12" s="31"/>
      <c r="P12" s="31"/>
      <c r="Q12" s="31"/>
      <c r="R12" s="31"/>
      <c r="S12" s="30">
        <v>0.02</v>
      </c>
      <c r="T12" s="182">
        <f>IF('SPESE TEC. AMBITO A'!$Q24="X",1,0)*'SPESE TEC. AMBITO A'!M$4*'SPESE TEC. AMBITO A'!M$7*'SPESE TEC. AMBITO A'!M$9*'SPESE TEC. AMBITO A'!M$11*S12*IF('SPESE TEC. AMBITO A'!G$4&lt;5000,1/0.65,1)</f>
        <v>0</v>
      </c>
      <c r="U12" s="29">
        <v>0.03</v>
      </c>
      <c r="V12" s="32">
        <f>IF('SPESE TEC. AMBITO A'!$T24="X",1,0)*'SPESE TEC. AMBITO A'!N$4*'SPESE TEC. AMBITO A'!N$7*'SPESE TEC. AMBITO A'!N$9*'SPESE TEC. AMBITO A'!N$11*U12*1</f>
        <v>0</v>
      </c>
      <c r="W12"/>
      <c r="Z12" s="181"/>
      <c r="AA12" s="181"/>
      <c r="AB12" s="181"/>
      <c r="AC12" s="181"/>
      <c r="AD12" s="181"/>
      <c r="AE12" s="181"/>
      <c r="AF12" s="181"/>
      <c r="AG12" s="181"/>
      <c r="AH12" s="181"/>
      <c r="AI12" s="181"/>
      <c r="AJ12" s="181"/>
      <c r="AK12" s="181"/>
      <c r="AL12" s="181"/>
      <c r="AM12" s="181"/>
      <c r="AN12" s="181"/>
      <c r="AO12" s="181"/>
      <c r="AP12" s="181"/>
      <c r="AQ12" s="181"/>
      <c r="AR12" s="181"/>
      <c r="AS12" s="181"/>
    </row>
    <row r="13" spans="1:45" s="1" customFormat="1" ht="15" customHeight="1">
      <c r="A13" s="359"/>
      <c r="B13" s="401"/>
      <c r="C13" s="196" t="s">
        <v>75</v>
      </c>
      <c r="D13" s="403" t="s">
        <v>88</v>
      </c>
      <c r="E13" s="404"/>
      <c r="F13" s="404"/>
      <c r="G13" s="31"/>
      <c r="H13" s="32">
        <f>IF('SPESE TEC. AMBITO A'!$E25="X",1,0)*'SPESE TEC. AMBITO A'!G$4*'SPESE TEC. AMBITO A'!G$7*'SPESE TEC. AMBITO A'!G$9*'SPESE TEC. AMBITO A'!G$11*G13*1</f>
        <v>0</v>
      </c>
      <c r="I13" s="31"/>
      <c r="J13" s="32">
        <f>IF('SPESE TEC. AMBITO A'!$H25="X",1,0)*'SPESE TEC. AMBITO A'!H$4*'SPESE TEC. AMBITO A'!H$7*'SPESE TEC. AMBITO A'!H$9*'SPESE TEC. AMBITO A'!H$11*I13*1</f>
        <v>0</v>
      </c>
      <c r="K13" s="31"/>
      <c r="L13" s="32">
        <f>IF('SPESE TEC. AMBITO A'!$K25="X",1,0)*'SPESE TEC. AMBITO A'!I$4*'SPESE TEC. AMBITO A'!I$7*'SPESE TEC. AMBITO A'!I$9*'SPESE TEC. AMBITO A'!I$11*K13*1</f>
        <v>0</v>
      </c>
      <c r="M13" s="31"/>
      <c r="N13" s="32">
        <f>IF('SPESE TEC. AMBITO A'!$N25="X",1,0)*'SPESE TEC. AMBITO A'!J$4*'SPESE TEC. AMBITO A'!J$7*'SPESE TEC. AMBITO A'!J$9*'SPESE TEC. AMBITO A'!J$11*M13*1</f>
        <v>0</v>
      </c>
      <c r="O13" s="31"/>
      <c r="P13" s="31"/>
      <c r="Q13" s="31"/>
      <c r="R13" s="31"/>
      <c r="S13" s="29">
        <v>1.4999999999999999E-2</v>
      </c>
      <c r="T13" s="182">
        <f>IF('SPESE TEC. AMBITO A'!$Q25="X",1,0)*'SPESE TEC. AMBITO A'!M$4*'SPESE TEC. AMBITO A'!M$7*'SPESE TEC. AMBITO A'!M$9*'SPESE TEC. AMBITO A'!M$11*S13*IF('SPESE TEC. AMBITO A'!G$4&lt;5000,1/0.65,1)</f>
        <v>0</v>
      </c>
      <c r="U13" s="30">
        <v>1.5E-3</v>
      </c>
      <c r="V13" s="32">
        <f>IF('SPESE TEC. AMBITO A'!$T25="X",1,0)*'SPESE TEC. AMBITO A'!N$4*'SPESE TEC. AMBITO A'!N$7*'SPESE TEC. AMBITO A'!N$9*'SPESE TEC. AMBITO A'!N$11*U13*1</f>
        <v>0</v>
      </c>
      <c r="W13"/>
    </row>
    <row r="14" spans="1:45" s="1" customFormat="1" ht="15" customHeight="1">
      <c r="A14" s="359"/>
      <c r="B14" s="401"/>
      <c r="C14" s="196" t="s">
        <v>76</v>
      </c>
      <c r="D14" s="404" t="s">
        <v>244</v>
      </c>
      <c r="E14" s="404"/>
      <c r="F14" s="404"/>
      <c r="G14" s="31"/>
      <c r="H14" s="32">
        <f>IF('SPESE TEC. AMBITO A'!$E26="X",1,0)*'SPESE TEC. AMBITO A'!G$4*'SPESE TEC. AMBITO A'!G$7*'SPESE TEC. AMBITO A'!G$9*'SPESE TEC. AMBITO A'!G$11*G14*1</f>
        <v>0</v>
      </c>
      <c r="I14" s="31"/>
      <c r="J14" s="32">
        <f>IF('SPESE TEC. AMBITO A'!$H26="X",1,0)*'SPESE TEC. AMBITO A'!H$4*'SPESE TEC. AMBITO A'!H$7*'SPESE TEC. AMBITO A'!H$9*'SPESE TEC. AMBITO A'!H$11*I14*1</f>
        <v>0</v>
      </c>
      <c r="K14" s="31"/>
      <c r="L14" s="32">
        <f>IF('SPESE TEC. AMBITO A'!$K26="X",1,0)*'SPESE TEC. AMBITO A'!I$4*'SPESE TEC. AMBITO A'!I$7*'SPESE TEC. AMBITO A'!I$9*'SPESE TEC. AMBITO A'!I$11*K14*1</f>
        <v>0</v>
      </c>
      <c r="M14" s="31"/>
      <c r="N14" s="32">
        <f>IF('SPESE TEC. AMBITO A'!$N26="X",1,0)*'SPESE TEC. AMBITO A'!J$4*'SPESE TEC. AMBITO A'!J$7*'SPESE TEC. AMBITO A'!J$9*'SPESE TEC. AMBITO A'!J$11*M14*1</f>
        <v>0</v>
      </c>
      <c r="O14" s="31"/>
      <c r="P14" s="31"/>
      <c r="Q14" s="31"/>
      <c r="R14" s="31"/>
      <c r="S14" s="29">
        <v>2.5000000000000001E-2</v>
      </c>
      <c r="T14" s="182">
        <f>IF('SPESE TEC. AMBITO A'!$Q26="X",1,0)*'SPESE TEC. AMBITO A'!M$4*'SPESE TEC. AMBITO A'!M$7*'SPESE TEC. AMBITO A'!M$9*'SPESE TEC. AMBITO A'!M$11*S14*IF('SPESE TEC. AMBITO A'!G$4&lt;5000,1/0.65,1)</f>
        <v>0</v>
      </c>
      <c r="U14" s="31"/>
      <c r="V14" s="32">
        <f>IF('SPESE TEC. AMBITO A'!$T26="X",1,0)*'SPESE TEC. AMBITO A'!N$4*'SPESE TEC. AMBITO A'!N$7*'SPESE TEC. AMBITO A'!N$9*'SPESE TEC. AMBITO A'!N$11*U14*1</f>
        <v>0</v>
      </c>
      <c r="W14"/>
    </row>
    <row r="15" spans="1:45" s="1" customFormat="1" ht="22.5" customHeight="1">
      <c r="A15" s="359"/>
      <c r="B15" s="196" t="s">
        <v>82</v>
      </c>
      <c r="C15" s="196" t="s">
        <v>77</v>
      </c>
      <c r="D15" s="403" t="s">
        <v>78</v>
      </c>
      <c r="E15" s="403"/>
      <c r="F15" s="403"/>
      <c r="G15" s="31"/>
      <c r="H15" s="32">
        <f>IF('SPESE TEC. AMBITO A'!$E27="X",1,0)*'SPESE TEC. AMBITO A'!G$4*'SPESE TEC. AMBITO A'!G$7*'SPESE TEC. AMBITO A'!G$9*'SPESE TEC. AMBITO A'!G$11*G15*1</f>
        <v>0</v>
      </c>
      <c r="I15" s="31"/>
      <c r="J15" s="32">
        <f>IF('SPESE TEC. AMBITO A'!$H27="X",1,0)*'SPESE TEC. AMBITO A'!H$4*'SPESE TEC. AMBITO A'!H$7*'SPESE TEC. AMBITO A'!H$9*'SPESE TEC. AMBITO A'!H$11*I15*1</f>
        <v>0</v>
      </c>
      <c r="K15" s="31"/>
      <c r="L15" s="32">
        <f>IF('SPESE TEC. AMBITO A'!$K27="X",1,0)*'SPESE TEC. AMBITO A'!I$4*'SPESE TEC. AMBITO A'!I$7*'SPESE TEC. AMBITO A'!I$9*'SPESE TEC. AMBITO A'!I$11*K15*1</f>
        <v>0</v>
      </c>
      <c r="M15" s="31"/>
      <c r="N15" s="32">
        <f>IF('SPESE TEC. AMBITO A'!$N27="X",1,0)*'SPESE TEC. AMBITO A'!J$4*'SPESE TEC. AMBITO A'!J$7*'SPESE TEC. AMBITO A'!J$9*'SPESE TEC. AMBITO A'!J$11*M15*1</f>
        <v>0</v>
      </c>
      <c r="O15" s="31"/>
      <c r="P15" s="31"/>
      <c r="Q15" s="31"/>
      <c r="R15" s="31"/>
      <c r="S15" s="29">
        <v>5.0000000000000001E-3</v>
      </c>
      <c r="T15" s="32">
        <f>IF('SPESE TEC. AMBITO A'!$Q27="X",1,0)*'SPESE TEC. AMBITO A'!M$4*'SPESE TEC. AMBITO A'!M$7*'SPESE TEC. AMBITO A'!M$9*'SPESE TEC. AMBITO A'!M$11*S15*1</f>
        <v>0</v>
      </c>
      <c r="U15" s="31"/>
      <c r="V15" s="32">
        <f>IF('SPESE TEC. AMBITO A'!$T27="X",1,0)*'SPESE TEC. AMBITO A'!N$4*'SPESE TEC. AMBITO A'!N$7*'SPESE TEC. AMBITO A'!N$9*'SPESE TEC. AMBITO A'!N$11*U15*1</f>
        <v>0</v>
      </c>
      <c r="W15"/>
    </row>
    <row r="16" spans="1:45" s="1" customFormat="1" ht="15" customHeight="1">
      <c r="A16" s="359" t="s">
        <v>90</v>
      </c>
      <c r="B16" s="359" t="s">
        <v>91</v>
      </c>
      <c r="C16" s="196" t="s">
        <v>92</v>
      </c>
      <c r="D16" s="401" t="s">
        <v>93</v>
      </c>
      <c r="E16" s="401"/>
      <c r="F16" s="401"/>
      <c r="G16" s="29">
        <v>0.09</v>
      </c>
      <c r="H16" s="32">
        <f>IF('SPESE TEC. AMBITO A'!$E28="X",1,0)*'SPESE TEC. AMBITO A'!G$4*'SPESE TEC. AMBITO A'!G$7*'SPESE TEC. AMBITO A'!G$9*'SPESE TEC. AMBITO A'!G$11*G16*1</f>
        <v>0</v>
      </c>
      <c r="I16" s="29">
        <v>0.09</v>
      </c>
      <c r="J16" s="32">
        <f>IF('SPESE TEC. AMBITO A'!$H28="X",1,0)*'SPESE TEC. AMBITO A'!H$4*'SPESE TEC. AMBITO A'!H$7*'SPESE TEC. AMBITO A'!H$9*'SPESE TEC. AMBITO A'!H$11*I16*1</f>
        <v>0</v>
      </c>
      <c r="K16" s="29">
        <v>0.09</v>
      </c>
      <c r="L16" s="32">
        <f>IF('SPESE TEC. AMBITO A'!$K28="X",1,0)*'SPESE TEC. AMBITO A'!I$4*'SPESE TEC. AMBITO A'!I$7*'SPESE TEC. AMBITO A'!I$9*'SPESE TEC. AMBITO A'!I$11*K16*1</f>
        <v>0</v>
      </c>
      <c r="M16" s="29">
        <v>0.08</v>
      </c>
      <c r="N16" s="32">
        <f>IF('SPESE TEC. AMBITO A'!$N28="X",1,0)*'SPESE TEC. AMBITO A'!J$4*'SPESE TEC. AMBITO A'!J$7*'SPESE TEC. AMBITO A'!J$9*'SPESE TEC. AMBITO A'!J$11*M16*1</f>
        <v>0</v>
      </c>
      <c r="O16" s="29">
        <v>7.0000000000000007E-2</v>
      </c>
      <c r="P16" s="31"/>
      <c r="Q16" s="29">
        <v>0.1</v>
      </c>
      <c r="R16" s="31"/>
      <c r="S16" s="29">
        <v>0.08</v>
      </c>
      <c r="T16" s="32">
        <f>IF('SPESE TEC. AMBITO A'!$Q28="X",1,0)*'SPESE TEC. AMBITO A'!M$4*'SPESE TEC. AMBITO A'!M$7*'SPESE TEC. AMBITO A'!M$9*'SPESE TEC. AMBITO A'!M$11*S16*1</f>
        <v>0</v>
      </c>
      <c r="U16" s="31"/>
      <c r="V16" s="32">
        <f>IF('SPESE TEC. AMBITO A'!$T28="X",1,0)*'SPESE TEC. AMBITO A'!N$4*'SPESE TEC. AMBITO A'!N$7*'SPESE TEC. AMBITO A'!N$9*'SPESE TEC. AMBITO A'!N$11*U16*1</f>
        <v>0</v>
      </c>
      <c r="W16"/>
    </row>
    <row r="17" spans="1:23" s="1" customFormat="1" ht="15" customHeight="1">
      <c r="A17" s="359"/>
      <c r="B17" s="359"/>
      <c r="C17" s="196" t="s">
        <v>94</v>
      </c>
      <c r="D17" s="401" t="s">
        <v>95</v>
      </c>
      <c r="E17" s="401"/>
      <c r="F17" s="401"/>
      <c r="G17" s="29">
        <v>0.01</v>
      </c>
      <c r="H17" s="32">
        <f>IF('SPESE TEC. AMBITO A'!$E29="X",1,0)*'SPESE TEC. AMBITO A'!G$4*'SPESE TEC. AMBITO A'!G$7*'SPESE TEC. AMBITO A'!G$9*'SPESE TEC. AMBITO A'!G$11*G17*1</f>
        <v>140.70271591309208</v>
      </c>
      <c r="I17" s="29">
        <v>0.01</v>
      </c>
      <c r="J17" s="32">
        <f>IF('SPESE TEC. AMBITO A'!$H29="X",1,0)*'SPESE TEC. AMBITO A'!H$4*'SPESE TEC. AMBITO A'!H$7*'SPESE TEC. AMBITO A'!H$9*'SPESE TEC. AMBITO A'!H$11*I17*1</f>
        <v>0</v>
      </c>
      <c r="K17" s="29">
        <v>0.01</v>
      </c>
      <c r="L17" s="32">
        <f>IF('SPESE TEC. AMBITO A'!$K29="X",1,0)*'SPESE TEC. AMBITO A'!I$4*'SPESE TEC. AMBITO A'!I$7*'SPESE TEC. AMBITO A'!I$9*'SPESE TEC. AMBITO A'!I$11*K17*1</f>
        <v>0</v>
      </c>
      <c r="M17" s="29">
        <v>0.01</v>
      </c>
      <c r="N17" s="32">
        <f>IF('SPESE TEC. AMBITO A'!$N29="X",1,0)*'SPESE TEC. AMBITO A'!J$4*'SPESE TEC. AMBITO A'!J$7*'SPESE TEC. AMBITO A'!J$9*'SPESE TEC. AMBITO A'!J$11*M17*1</f>
        <v>0</v>
      </c>
      <c r="O17" s="29">
        <v>0.01</v>
      </c>
      <c r="P17" s="31"/>
      <c r="Q17" s="29">
        <v>0.01</v>
      </c>
      <c r="R17" s="31"/>
      <c r="S17" s="29">
        <v>0.01</v>
      </c>
      <c r="T17" s="182">
        <f>IF('SPESE TEC. AMBITO A'!$Q29="X",1,0)*'SPESE TEC. AMBITO A'!M$4*'SPESE TEC. AMBITO A'!M$7*'SPESE TEC. AMBITO A'!M$9*'SPESE TEC. AMBITO A'!M$11*S17*IF('SPESE TEC. AMBITO A'!G$4&lt;5000,1/0.65,1)</f>
        <v>0</v>
      </c>
      <c r="U17" s="31"/>
      <c r="V17" s="32">
        <f>IF('SPESE TEC. AMBITO A'!$T29="X",1,0)*'SPESE TEC. AMBITO A'!N$4*'SPESE TEC. AMBITO A'!N$7*'SPESE TEC. AMBITO A'!N$9*'SPESE TEC. AMBITO A'!N$11*U17*1</f>
        <v>0</v>
      </c>
      <c r="W17"/>
    </row>
    <row r="18" spans="1:23" s="1" customFormat="1" ht="15" customHeight="1">
      <c r="A18" s="359"/>
      <c r="B18" s="359"/>
      <c r="C18" s="196" t="s">
        <v>96</v>
      </c>
      <c r="D18" s="401" t="s">
        <v>97</v>
      </c>
      <c r="E18" s="401"/>
      <c r="F18" s="401"/>
      <c r="G18" s="29">
        <v>0.02</v>
      </c>
      <c r="H18" s="32">
        <f>IF('SPESE TEC. AMBITO A'!$E30="X",1,0)*'SPESE TEC. AMBITO A'!G$4*'SPESE TEC. AMBITO A'!G$7*'SPESE TEC. AMBITO A'!G$9*'SPESE TEC. AMBITO A'!G$11*G18*1</f>
        <v>0</v>
      </c>
      <c r="I18" s="29">
        <v>0.02</v>
      </c>
      <c r="J18" s="32">
        <f>IF('SPESE TEC. AMBITO A'!$H30="X",1,0)*'SPESE TEC. AMBITO A'!H$4*'SPESE TEC. AMBITO A'!H$7*'SPESE TEC. AMBITO A'!H$9*'SPESE TEC. AMBITO A'!H$11*I18*1</f>
        <v>0</v>
      </c>
      <c r="K18" s="29">
        <v>0.02</v>
      </c>
      <c r="L18" s="32">
        <f>IF('SPESE TEC. AMBITO A'!$K30="X",1,0)*'SPESE TEC. AMBITO A'!I$4*'SPESE TEC. AMBITO A'!I$7*'SPESE TEC. AMBITO A'!I$9*'SPESE TEC. AMBITO A'!I$11*K18*1</f>
        <v>0</v>
      </c>
      <c r="M18" s="29">
        <v>0.02</v>
      </c>
      <c r="N18" s="32">
        <f>IF('SPESE TEC. AMBITO A'!$N30="X",1,0)*'SPESE TEC. AMBITO A'!J$4*'SPESE TEC. AMBITO A'!J$7*'SPESE TEC. AMBITO A'!J$9*'SPESE TEC. AMBITO A'!J$11*M18*1</f>
        <v>0</v>
      </c>
      <c r="O18" s="29">
        <v>0.02</v>
      </c>
      <c r="P18" s="31"/>
      <c r="Q18" s="31"/>
      <c r="R18" s="31"/>
      <c r="S18" s="29">
        <v>0.02</v>
      </c>
      <c r="T18" s="32">
        <f>IF('SPESE TEC. AMBITO A'!$Q30="X",1,0)*'SPESE TEC. AMBITO A'!M$4*'SPESE TEC. AMBITO A'!M$7*'SPESE TEC. AMBITO A'!M$9*'SPESE TEC. AMBITO A'!M$11*S18*1</f>
        <v>0</v>
      </c>
      <c r="U18" s="31"/>
      <c r="V18" s="32">
        <f>IF('SPESE TEC. AMBITO A'!$T30="X",1,0)*'SPESE TEC. AMBITO A'!N$4*'SPESE TEC. AMBITO A'!N$7*'SPESE TEC. AMBITO A'!N$9*'SPESE TEC. AMBITO A'!N$11*U18*1</f>
        <v>0</v>
      </c>
      <c r="W18"/>
    </row>
    <row r="19" spans="1:23" s="1" customFormat="1" ht="15" customHeight="1">
      <c r="A19" s="359"/>
      <c r="B19" s="359"/>
      <c r="C19" s="196" t="s">
        <v>98</v>
      </c>
      <c r="D19" s="401" t="s">
        <v>260</v>
      </c>
      <c r="E19" s="401"/>
      <c r="F19" s="401"/>
      <c r="G19" s="29">
        <v>0.03</v>
      </c>
      <c r="H19" s="32">
        <f>IF('SPESE TEC. AMBITO A'!$E31="X",1,0)*'SPESE TEC. AMBITO A'!G$4*'SPESE TEC. AMBITO A'!G$7*'SPESE TEC. AMBITO A'!G$9*'SPESE TEC. AMBITO A'!G$11*G19*1</f>
        <v>0</v>
      </c>
      <c r="I19" s="29">
        <v>0.03</v>
      </c>
      <c r="J19" s="32">
        <f>IF('SPESE TEC. AMBITO A'!$H31="X",1,0)*'SPESE TEC. AMBITO A'!H$4*'SPESE TEC. AMBITO A'!H$7*'SPESE TEC. AMBITO A'!H$9*'SPESE TEC. AMBITO A'!H$11*I19*1</f>
        <v>0</v>
      </c>
      <c r="K19" s="29">
        <v>0.03</v>
      </c>
      <c r="L19" s="32">
        <f>IF('SPESE TEC. AMBITO A'!$K31="X",1,0)*'SPESE TEC. AMBITO A'!I$4*'SPESE TEC. AMBITO A'!I$7*'SPESE TEC. AMBITO A'!I$9*'SPESE TEC. AMBITO A'!I$11*K19*1</f>
        <v>0</v>
      </c>
      <c r="M19" s="29">
        <v>0.03</v>
      </c>
      <c r="N19" s="32">
        <f>IF('SPESE TEC. AMBITO A'!$N31="X",1,0)*'SPESE TEC. AMBITO A'!J$4*'SPESE TEC. AMBITO A'!J$7*'SPESE TEC. AMBITO A'!J$9*'SPESE TEC. AMBITO A'!J$11*M19*1</f>
        <v>0</v>
      </c>
      <c r="O19" s="29">
        <v>0.03</v>
      </c>
      <c r="P19" s="31"/>
      <c r="Q19" s="29">
        <v>0.03</v>
      </c>
      <c r="R19" s="31"/>
      <c r="S19" s="29">
        <v>0.03</v>
      </c>
      <c r="T19" s="32">
        <f>IF('SPESE TEC. AMBITO A'!$Q31="X",1,0)*'SPESE TEC. AMBITO A'!M$4*'SPESE TEC. AMBITO A'!M$7*'SPESE TEC. AMBITO A'!M$9*'SPESE TEC. AMBITO A'!M$11*S19*1</f>
        <v>0</v>
      </c>
      <c r="U19" s="31"/>
      <c r="V19" s="32">
        <f>IF('SPESE TEC. AMBITO A'!$T31="X",1,0)*'SPESE TEC. AMBITO A'!N$4*'SPESE TEC. AMBITO A'!N$7*'SPESE TEC. AMBITO A'!N$9*'SPESE TEC. AMBITO A'!N$11*U19*1</f>
        <v>0</v>
      </c>
      <c r="W19"/>
    </row>
    <row r="20" spans="1:23" s="1" customFormat="1" ht="15" customHeight="1">
      <c r="A20" s="359"/>
      <c r="B20" s="359"/>
      <c r="C20" s="196" t="s">
        <v>99</v>
      </c>
      <c r="D20" s="401" t="s">
        <v>259</v>
      </c>
      <c r="E20" s="401"/>
      <c r="F20" s="401"/>
      <c r="G20" s="29">
        <v>7.0000000000000007E-2</v>
      </c>
      <c r="H20" s="32">
        <f>IF('SPESE TEC. AMBITO A'!$E32="X",1,0)*'SPESE TEC. AMBITO A'!G$4*'SPESE TEC. AMBITO A'!G$7*'SPESE TEC. AMBITO A'!G$9*'SPESE TEC. AMBITO A'!G$11*G20*1</f>
        <v>0</v>
      </c>
      <c r="I20" s="29">
        <v>7.0000000000000007E-2</v>
      </c>
      <c r="J20" s="32">
        <f>IF('SPESE TEC. AMBITO A'!$H32="X",1,0)*'SPESE TEC. AMBITO A'!H$4*'SPESE TEC. AMBITO A'!H$7*'SPESE TEC. AMBITO A'!H$9*'SPESE TEC. AMBITO A'!H$11*I20*1</f>
        <v>0</v>
      </c>
      <c r="K20" s="29">
        <v>7.0000000000000007E-2</v>
      </c>
      <c r="L20" s="32">
        <f>IF('SPESE TEC. AMBITO A'!$K32="X",1,0)*'SPESE TEC. AMBITO A'!I$4*'SPESE TEC. AMBITO A'!I$7*'SPESE TEC. AMBITO A'!I$9*'SPESE TEC. AMBITO A'!I$11*K20*1</f>
        <v>0</v>
      </c>
      <c r="M20" s="29">
        <v>7.0000000000000007E-2</v>
      </c>
      <c r="N20" s="32">
        <f>IF('SPESE TEC. AMBITO A'!$N32="X",1,0)*'SPESE TEC. AMBITO A'!J$4*'SPESE TEC. AMBITO A'!J$7*'SPESE TEC. AMBITO A'!J$9*'SPESE TEC. AMBITO A'!J$11*M20*1</f>
        <v>0</v>
      </c>
      <c r="O20" s="29">
        <v>7.0000000000000007E-2</v>
      </c>
      <c r="P20" s="31"/>
      <c r="Q20" s="29">
        <v>7.0000000000000007E-2</v>
      </c>
      <c r="R20" s="31"/>
      <c r="S20" s="29">
        <v>7.0000000000000007E-2</v>
      </c>
      <c r="T20" s="32">
        <f>IF('SPESE TEC. AMBITO A'!$Q32="X",1,0)*'SPESE TEC. AMBITO A'!M$4*'SPESE TEC. AMBITO A'!M$7*'SPESE TEC. AMBITO A'!M$9*'SPESE TEC. AMBITO A'!M$11*S20*1</f>
        <v>0</v>
      </c>
      <c r="U20" s="31"/>
      <c r="V20" s="32">
        <f>IF('SPESE TEC. AMBITO A'!$T32="X",1,0)*'SPESE TEC. AMBITO A'!N$4*'SPESE TEC. AMBITO A'!N$7*'SPESE TEC. AMBITO A'!N$9*'SPESE TEC. AMBITO A'!N$11*U20*1</f>
        <v>0</v>
      </c>
      <c r="W20"/>
    </row>
    <row r="21" spans="1:23" s="1" customFormat="1" ht="15" customHeight="1">
      <c r="A21" s="359"/>
      <c r="B21" s="359"/>
      <c r="C21" s="196" t="s">
        <v>100</v>
      </c>
      <c r="D21" s="401" t="s">
        <v>101</v>
      </c>
      <c r="E21" s="401"/>
      <c r="F21" s="401"/>
      <c r="G21" s="29">
        <v>0.03</v>
      </c>
      <c r="H21" s="32">
        <f>IF('SPESE TEC. AMBITO A'!$E33="X",1,0)*'SPESE TEC. AMBITO A'!G$4*'SPESE TEC. AMBITO A'!G$7*'SPESE TEC. AMBITO A'!G$9*'SPESE TEC. AMBITO A'!G$11*G21*1</f>
        <v>0</v>
      </c>
      <c r="I21" s="29">
        <v>0.03</v>
      </c>
      <c r="J21" s="32">
        <f>IF('SPESE TEC. AMBITO A'!$H33="X",1,0)*'SPESE TEC. AMBITO A'!H$4*'SPESE TEC. AMBITO A'!H$7*'SPESE TEC. AMBITO A'!H$9*'SPESE TEC. AMBITO A'!H$11*I21*1</f>
        <v>0</v>
      </c>
      <c r="K21" s="29">
        <v>0.03</v>
      </c>
      <c r="L21" s="32">
        <f>IF('SPESE TEC. AMBITO A'!$K33="X",1,0)*'SPESE TEC. AMBITO A'!I$4*'SPESE TEC. AMBITO A'!I$7*'SPESE TEC. AMBITO A'!I$9*'SPESE TEC. AMBITO A'!I$11*K21*1</f>
        <v>0</v>
      </c>
      <c r="M21" s="29">
        <v>0.03</v>
      </c>
      <c r="N21" s="32">
        <f>IF('SPESE TEC. AMBITO A'!$N33="X",1,0)*'SPESE TEC. AMBITO A'!J$4*'SPESE TEC. AMBITO A'!J$7*'SPESE TEC. AMBITO A'!J$9*'SPESE TEC. AMBITO A'!J$11*M21*1</f>
        <v>0</v>
      </c>
      <c r="O21" s="29">
        <v>0.03</v>
      </c>
      <c r="P21" s="31"/>
      <c r="Q21" s="31"/>
      <c r="R21" s="31"/>
      <c r="S21" s="29">
        <v>0.03</v>
      </c>
      <c r="T21" s="32">
        <f>IF('SPESE TEC. AMBITO A'!$Q33="X",1,0)*'SPESE TEC. AMBITO A'!M$4*'SPESE TEC. AMBITO A'!M$7*'SPESE TEC. AMBITO A'!M$9*'SPESE TEC. AMBITO A'!M$11*S21*1</f>
        <v>0</v>
      </c>
      <c r="U21" s="31"/>
      <c r="V21" s="32">
        <f>IF('SPESE TEC. AMBITO A'!$T33="X",1,0)*'SPESE TEC. AMBITO A'!N$4*'SPESE TEC. AMBITO A'!N$7*'SPESE TEC. AMBITO A'!N$9*'SPESE TEC. AMBITO A'!N$11*U21*1</f>
        <v>0</v>
      </c>
      <c r="W21"/>
    </row>
    <row r="22" spans="1:23" s="1" customFormat="1" ht="15" customHeight="1">
      <c r="A22" s="359"/>
      <c r="B22" s="359"/>
      <c r="C22" s="196" t="s">
        <v>102</v>
      </c>
      <c r="D22" s="401" t="s">
        <v>103</v>
      </c>
      <c r="E22" s="401"/>
      <c r="F22" s="401"/>
      <c r="G22" s="29">
        <v>1.4999999999999999E-2</v>
      </c>
      <c r="H22" s="32">
        <f>IF('SPESE TEC. AMBITO A'!$E34="X",1,0)*'SPESE TEC. AMBITO A'!G$4*'SPESE TEC. AMBITO A'!G$7*'SPESE TEC. AMBITO A'!G$9*'SPESE TEC. AMBITO A'!G$11*G22*1</f>
        <v>0</v>
      </c>
      <c r="I22" s="29">
        <v>1.4999999999999999E-2</v>
      </c>
      <c r="J22" s="32">
        <f>IF('SPESE TEC. AMBITO A'!$H34="X",1,0)*'SPESE TEC. AMBITO A'!H$4*'SPESE TEC. AMBITO A'!H$7*'SPESE TEC. AMBITO A'!H$9*'SPESE TEC. AMBITO A'!H$11*I22*1</f>
        <v>0</v>
      </c>
      <c r="K22" s="29">
        <v>1.4999999999999999E-2</v>
      </c>
      <c r="L22" s="32">
        <f>IF('SPESE TEC. AMBITO A'!$K34="X",1,0)*'SPESE TEC. AMBITO A'!I$4*'SPESE TEC. AMBITO A'!I$7*'SPESE TEC. AMBITO A'!I$9*'SPESE TEC. AMBITO A'!I$11*K22*1</f>
        <v>0</v>
      </c>
      <c r="M22" s="29">
        <v>1.4999999999999999E-2</v>
      </c>
      <c r="N22" s="32">
        <f>IF('SPESE TEC. AMBITO A'!$N34="X",1,0)*'SPESE TEC. AMBITO A'!J$4*'SPESE TEC. AMBITO A'!J$7*'SPESE TEC. AMBITO A'!J$9*'SPESE TEC. AMBITO A'!J$11*M22*1</f>
        <v>0</v>
      </c>
      <c r="O22" s="29">
        <v>1.4999999999999999E-2</v>
      </c>
      <c r="P22" s="31"/>
      <c r="Q22" s="31"/>
      <c r="R22" s="31"/>
      <c r="S22" s="29">
        <v>1.4999999999999999E-2</v>
      </c>
      <c r="T22" s="32">
        <f>IF('SPESE TEC. AMBITO A'!$Q34="X",1,0)*'SPESE TEC. AMBITO A'!M$4*'SPESE TEC. AMBITO A'!M$7*'SPESE TEC. AMBITO A'!M$9*'SPESE TEC. AMBITO A'!M$11*S22*1</f>
        <v>0</v>
      </c>
      <c r="U22" s="31"/>
      <c r="V22" s="32">
        <f>IF('SPESE TEC. AMBITO A'!$T34="X",1,0)*'SPESE TEC. AMBITO A'!N$4*'SPESE TEC. AMBITO A'!N$7*'SPESE TEC. AMBITO A'!N$9*'SPESE TEC. AMBITO A'!N$11*U22*1</f>
        <v>0</v>
      </c>
      <c r="W22"/>
    </row>
    <row r="23" spans="1:23" s="1" customFormat="1" ht="15" customHeight="1">
      <c r="A23" s="359"/>
      <c r="B23" s="359"/>
      <c r="C23" s="196" t="s">
        <v>104</v>
      </c>
      <c r="D23" s="401" t="s">
        <v>105</v>
      </c>
      <c r="E23" s="401"/>
      <c r="F23" s="401"/>
      <c r="G23" s="29">
        <v>1.4999999999999999E-2</v>
      </c>
      <c r="H23" s="32">
        <f>IF('SPESE TEC. AMBITO A'!$E35="X",1,0)*'SPESE TEC. AMBITO A'!G$4*'SPESE TEC. AMBITO A'!G$7*'SPESE TEC. AMBITO A'!G$9*'SPESE TEC. AMBITO A'!G$11*G23*1</f>
        <v>0</v>
      </c>
      <c r="I23" s="29">
        <v>1.4999999999999999E-2</v>
      </c>
      <c r="J23" s="32">
        <f>IF('SPESE TEC. AMBITO A'!$H35="X",1,0)*'SPESE TEC. AMBITO A'!H$4*'SPESE TEC. AMBITO A'!H$7*'SPESE TEC. AMBITO A'!H$9*'SPESE TEC. AMBITO A'!H$11*I23*1</f>
        <v>0</v>
      </c>
      <c r="K23" s="29">
        <v>1.4999999999999999E-2</v>
      </c>
      <c r="L23" s="32">
        <f>IF('SPESE TEC. AMBITO A'!$K35="X",1,0)*'SPESE TEC. AMBITO A'!I$4*'SPESE TEC. AMBITO A'!I$7*'SPESE TEC. AMBITO A'!I$9*'SPESE TEC. AMBITO A'!I$11*K23*1</f>
        <v>0</v>
      </c>
      <c r="M23" s="29">
        <v>1.4999999999999999E-2</v>
      </c>
      <c r="N23" s="32">
        <f>IF('SPESE TEC. AMBITO A'!$N35="X",1,0)*'SPESE TEC. AMBITO A'!J$4*'SPESE TEC. AMBITO A'!J$7*'SPESE TEC. AMBITO A'!J$9*'SPESE TEC. AMBITO A'!J$11*M23*1</f>
        <v>0</v>
      </c>
      <c r="O23" s="29">
        <v>1.4999999999999999E-2</v>
      </c>
      <c r="P23" s="31"/>
      <c r="Q23" s="31"/>
      <c r="R23" s="31"/>
      <c r="S23" s="29">
        <v>1.4999999999999999E-2</v>
      </c>
      <c r="T23" s="32">
        <f>IF('SPESE TEC. AMBITO A'!$Q35="X",1,0)*'SPESE TEC. AMBITO A'!M$4*'SPESE TEC. AMBITO A'!M$7*'SPESE TEC. AMBITO A'!M$9*'SPESE TEC. AMBITO A'!M$11*S23*1</f>
        <v>0</v>
      </c>
      <c r="U23" s="31"/>
      <c r="V23" s="32">
        <f>IF('SPESE TEC. AMBITO A'!$T35="X",1,0)*'SPESE TEC. AMBITO A'!N$4*'SPESE TEC. AMBITO A'!N$7*'SPESE TEC. AMBITO A'!N$9*'SPESE TEC. AMBITO A'!N$11*U23*1</f>
        <v>0</v>
      </c>
      <c r="W23"/>
    </row>
    <row r="24" spans="1:23" s="1" customFormat="1" ht="15" customHeight="1">
      <c r="A24" s="359"/>
      <c r="B24" s="359"/>
      <c r="C24" s="196" t="s">
        <v>106</v>
      </c>
      <c r="D24" s="401" t="s">
        <v>107</v>
      </c>
      <c r="E24" s="401"/>
      <c r="F24" s="401"/>
      <c r="G24" s="29">
        <v>1.4999999999999999E-2</v>
      </c>
      <c r="H24" s="32">
        <f>IF('SPESE TEC. AMBITO A'!$E36="X",1,0)*'SPESE TEC. AMBITO A'!G$4*'SPESE TEC. AMBITO A'!G$7*'SPESE TEC. AMBITO A'!G$9*'SPESE TEC. AMBITO A'!G$11*G24*1</f>
        <v>0</v>
      </c>
      <c r="I24" s="29">
        <v>1.4999999999999999E-2</v>
      </c>
      <c r="J24" s="32">
        <f>IF('SPESE TEC. AMBITO A'!$H36="X",1,0)*'SPESE TEC. AMBITO A'!H$4*'SPESE TEC. AMBITO A'!H$7*'SPESE TEC. AMBITO A'!H$9*'SPESE TEC. AMBITO A'!H$11*I24*1</f>
        <v>0</v>
      </c>
      <c r="K24" s="29">
        <v>1.4999999999999999E-2</v>
      </c>
      <c r="L24" s="32">
        <f>IF('SPESE TEC. AMBITO A'!$K36="X",1,0)*'SPESE TEC. AMBITO A'!I$4*'SPESE TEC. AMBITO A'!I$7*'SPESE TEC. AMBITO A'!I$9*'SPESE TEC. AMBITO A'!I$11*K24*1</f>
        <v>0</v>
      </c>
      <c r="M24" s="29">
        <v>1.4999999999999999E-2</v>
      </c>
      <c r="N24" s="32">
        <f>IF('SPESE TEC. AMBITO A'!$N36="X",1,0)*'SPESE TEC. AMBITO A'!J$4*'SPESE TEC. AMBITO A'!J$7*'SPESE TEC. AMBITO A'!J$9*'SPESE TEC. AMBITO A'!J$11*M24*1</f>
        <v>0</v>
      </c>
      <c r="O24" s="29">
        <v>1.4999999999999999E-2</v>
      </c>
      <c r="P24" s="31"/>
      <c r="Q24" s="31"/>
      <c r="R24" s="31"/>
      <c r="S24" s="29">
        <v>1.4999999999999999E-2</v>
      </c>
      <c r="T24" s="32">
        <f>IF('SPESE TEC. AMBITO A'!$Q36="X",1,0)*'SPESE TEC. AMBITO A'!M$4*'SPESE TEC. AMBITO A'!M$7*'SPESE TEC. AMBITO A'!M$9*'SPESE TEC. AMBITO A'!M$11*S24*1</f>
        <v>0</v>
      </c>
      <c r="U24" s="31"/>
      <c r="V24" s="32">
        <f>IF('SPESE TEC. AMBITO A'!$T36="X",1,0)*'SPESE TEC. AMBITO A'!N$4*'SPESE TEC. AMBITO A'!N$7*'SPESE TEC. AMBITO A'!N$9*'SPESE TEC. AMBITO A'!N$11*U24*1</f>
        <v>0</v>
      </c>
      <c r="W24"/>
    </row>
    <row r="25" spans="1:23" s="1" customFormat="1" ht="15" customHeight="1">
      <c r="A25" s="359"/>
      <c r="B25" s="359"/>
      <c r="C25" s="196" t="s">
        <v>108</v>
      </c>
      <c r="D25" s="401" t="s">
        <v>109</v>
      </c>
      <c r="E25" s="401"/>
      <c r="F25" s="401"/>
      <c r="G25" s="29">
        <v>1.4999999999999999E-2</v>
      </c>
      <c r="H25" s="32">
        <f>IF('SPESE TEC. AMBITO A'!$E37="X",1,0)*'SPESE TEC. AMBITO A'!G$4*'SPESE TEC. AMBITO A'!G$7*'SPESE TEC. AMBITO A'!G$9*'SPESE TEC. AMBITO A'!G$11*G25*1</f>
        <v>0</v>
      </c>
      <c r="I25" s="29">
        <v>1.4999999999999999E-2</v>
      </c>
      <c r="J25" s="32">
        <f>IF('SPESE TEC. AMBITO A'!$H37="X",1,0)*'SPESE TEC. AMBITO A'!H$4*'SPESE TEC. AMBITO A'!H$7*'SPESE TEC. AMBITO A'!H$9*'SPESE TEC. AMBITO A'!H$11*I25*1</f>
        <v>0</v>
      </c>
      <c r="K25" s="29">
        <v>1.4999999999999999E-2</v>
      </c>
      <c r="L25" s="32">
        <f>IF('SPESE TEC. AMBITO A'!$K37="X",1,0)*'SPESE TEC. AMBITO A'!I$4*'SPESE TEC. AMBITO A'!I$7*'SPESE TEC. AMBITO A'!I$9*'SPESE TEC. AMBITO A'!I$11*K25*1</f>
        <v>0</v>
      </c>
      <c r="M25" s="29">
        <v>1.4999999999999999E-2</v>
      </c>
      <c r="N25" s="32">
        <f>IF('SPESE TEC. AMBITO A'!$N37="X",1,0)*'SPESE TEC. AMBITO A'!J$4*'SPESE TEC. AMBITO A'!J$7*'SPESE TEC. AMBITO A'!J$9*'SPESE TEC. AMBITO A'!J$11*M25*1</f>
        <v>0</v>
      </c>
      <c r="O25" s="29">
        <v>1.4999999999999999E-2</v>
      </c>
      <c r="P25" s="31"/>
      <c r="Q25" s="31"/>
      <c r="R25" s="31"/>
      <c r="S25" s="29">
        <v>1.4999999999999999E-2</v>
      </c>
      <c r="T25" s="32">
        <f>IF('SPESE TEC. AMBITO A'!$Q37="X",1,0)*'SPESE TEC. AMBITO A'!M$4*'SPESE TEC. AMBITO A'!M$7*'SPESE TEC. AMBITO A'!M$9*'SPESE TEC. AMBITO A'!M$11*S25*1</f>
        <v>0</v>
      </c>
      <c r="U25" s="31"/>
      <c r="V25" s="32">
        <f>IF('SPESE TEC. AMBITO A'!$T37="X",1,0)*'SPESE TEC. AMBITO A'!N$4*'SPESE TEC. AMBITO A'!N$7*'SPESE TEC. AMBITO A'!N$9*'SPESE TEC. AMBITO A'!N$11*U25*1</f>
        <v>0</v>
      </c>
      <c r="W25"/>
    </row>
    <row r="26" spans="1:23" s="1" customFormat="1" ht="15" customHeight="1">
      <c r="A26" s="359"/>
      <c r="B26" s="359"/>
      <c r="C26" s="196" t="s">
        <v>110</v>
      </c>
      <c r="D26" s="401" t="s">
        <v>246</v>
      </c>
      <c r="E26" s="196" t="s">
        <v>62</v>
      </c>
      <c r="F26" s="285">
        <v>250000</v>
      </c>
      <c r="G26" s="29">
        <v>3.9E-2</v>
      </c>
      <c r="H26" s="32">
        <f>IF('SPESE TEC. AMBITO A'!G$4&gt;$F26,$F26*(0.03+10/POWER($F26,0.4))*'SPESE TEC. AMBITO A'!G$9*G26*IF('SPESE TEC. AMBITO A'!$E$38="X",1,0),'SPESE TEC. AMBITO A'!G$4*'SPESE TEC. AMBITO A'!G$7*'SPESE TEC. AMBITO A'!G$9*G26)*IF('SPESE TEC. AMBITO A'!$E$38="X",1,0)</f>
        <v>0</v>
      </c>
      <c r="I26" s="29">
        <v>3.9E-2</v>
      </c>
      <c r="J26" s="32">
        <f>IF('SPESE TEC. AMBITO A'!H$4&gt;$F26,$F26*(0.03+10/POWER($F26,0.4))*'SPESE TEC. AMBITO A'!H$9*'SPESE TEC. AMBITO A'!H$11*I26*IF('SPESE TEC. AMBITO A'!$H$38="X",1,0),'SPESE TEC. AMBITO A'!H$4*'SPESE TEC. AMBITO A'!H$7*'SPESE TEC. AMBITO A'!H$9*'SPESE TEC. AMBITO A'!H$11*I26)*IF('SPESE TEC. AMBITO A'!$H$38="X",1,0)</f>
        <v>0</v>
      </c>
      <c r="K26" s="29">
        <v>3.9E-2</v>
      </c>
      <c r="L26" s="32">
        <f>IF('SPESE TEC. AMBITO A'!I$4&gt;$F26,$F26*(0.03+10/POWER($F26,0.4))*'SPESE TEC. AMBITO A'!I$9*'SPESE TEC. AMBITO A'!I$11*K26*IF('SPESE TEC. AMBITO A'!$K$38="X",1,0),'SPESE TEC. AMBITO A'!I$4*'SPESE TEC. AMBITO A'!I$7*'SPESE TEC. AMBITO A'!I$9*'SPESE TEC. AMBITO A'!I$11*K26*1)*IF('SPESE TEC. AMBITO A'!$K$38="X",1,0)</f>
        <v>0</v>
      </c>
      <c r="M26" s="29">
        <v>6.8000000000000005E-2</v>
      </c>
      <c r="N26" s="32">
        <f>IF('SPESE TEC. AMBITO A'!J$4&gt;$F26,$F26*(0.03+10/POWER($F26,0.4))*'SPESE TEC. AMBITO A'!J$9*'SPESE TEC. AMBITO A'!J$11*M26*IF('SPESE TEC. AMBITO A'!$N$38="X",1,0),'SPESE TEC. AMBITO A'!J$4*'SPESE TEC. AMBITO A'!J$7*'SPESE TEC. AMBITO A'!J$9*'SPESE TEC. AMBITO A'!J$11*M26*1)*IF('SPESE TEC. AMBITO A'!$N$38="X",1,0)</f>
        <v>0</v>
      </c>
      <c r="O26" s="29">
        <v>5.2999999999999999E-2</v>
      </c>
      <c r="P26" s="31"/>
      <c r="Q26" s="31"/>
      <c r="R26" s="31"/>
      <c r="S26" s="29">
        <v>5.2999999999999999E-2</v>
      </c>
      <c r="T26" s="32">
        <f>IF('SPESE TEC. AMBITO A'!M$4&gt;$F26,$F26*(0.03+10/POWER($F26,0.4))*'SPESE TEC. AMBITO A'!M$9*S26*IF('SPESE TEC. AMBITO A'!$Q$38="X",1,0),'SPESE TEC. AMBITO A'!M$4*'SPESE TEC. AMBITO A'!M$7*'SPESE TEC. AMBITO A'!M$9*S26*1)*IF('SPESE TEC. AMBITO A'!$Q$38="X",1,0)</f>
        <v>0</v>
      </c>
      <c r="U26" s="31"/>
      <c r="V26" s="32">
        <f>IF('SPESE TEC. AMBITO A'!N$4&gt;$F26,$F26*(0.03+10/POWER($F26,0.4))*'SPESE TEC. AMBITO A'!N$9*U26*IF('SPESE TEC. AMBITO A'!$T$38="X",1,0),'SPESE TEC. AMBITO A'!N$4*'SPESE TEC. AMBITO A'!N$7*'SPESE TEC. AMBITO A'!N$9*U26*1)*IF('SPESE TEC. AMBITO A'!$T$38="X",1,0)</f>
        <v>0</v>
      </c>
      <c r="W26"/>
    </row>
    <row r="27" spans="1:23" s="1" customFormat="1" ht="22.5">
      <c r="A27" s="359"/>
      <c r="B27" s="359"/>
      <c r="C27" s="196" t="s">
        <v>110</v>
      </c>
      <c r="D27" s="401"/>
      <c r="E27" s="196" t="s">
        <v>84</v>
      </c>
      <c r="F27" s="285">
        <v>500000</v>
      </c>
      <c r="G27" s="29">
        <v>0.01</v>
      </c>
      <c r="H27" s="32">
        <f>IF('SPESE TEC. AMBITO A'!G$4&gt;$F27,($F27-$F26)*(0.03+10/POWER(($F27-$F26),0.4))*'SPESE TEC. AMBITO A'!G$9*G27*IF('SPESE TEC. AMBITO A'!$E$38="X",1,0),IF(('SPESE TEC. AMBITO A'!G$4-$F26)&gt;0,('SPESE TEC. AMBITO A'!G$4-$F26)*(0.03+10/POWER(('SPESE TEC. AMBITO A'!G$4-$F26),0.4))*'SPESE TEC. AMBITO A'!G$9*G27,0)*IF('SPESE TEC. AMBITO A'!$E$38="X",1,0))</f>
        <v>0</v>
      </c>
      <c r="I27" s="29">
        <v>0.01</v>
      </c>
      <c r="J27" s="32">
        <f>IF('SPESE TEC. AMBITO A'!H$4&gt;$F27,($F27-$F26)*(0.03+10/POWER(($F27-$F26),0.4))*'SPESE TEC. AMBITO A'!H$9*'SPESE TEC. AMBITO A'!H$11*I27*IF('SPESE TEC. AMBITO A'!$H$38="X",1,0),IF(('SPESE TEC. AMBITO A'!H$4-$F26)&gt;0,('SPESE TEC. AMBITO A'!H$4-$F26)*(0.03+10/POWER(('SPESE TEC. AMBITO A'!H$4-$F26),0.4))*'SPESE TEC. AMBITO A'!H$9*'SPESE TEC. AMBITO A'!H$11*I27,0)*IF('SPESE TEC. AMBITO A'!$H$38="X",1,0))</f>
        <v>0</v>
      </c>
      <c r="K27" s="29">
        <v>0.01</v>
      </c>
      <c r="L27" s="32">
        <f>IF('SPESE TEC. AMBITO A'!I$4&gt;$F27,($F27-$F26)*(0.03+10/POWER(($F27-$F26),0.4))*'SPESE TEC. AMBITO A'!I$9*'SPESE TEC. AMBITO A'!I$11*K27*IF('SPESE TEC. AMBITO A'!$K$38="X",1,0),IF(('SPESE TEC. AMBITO A'!I$4-$F26)&gt;0,('SPESE TEC. AMBITO A'!I$4-$F26)*(0.03+10/POWER(('SPESE TEC. AMBITO A'!I$4-$F26),0.4))*'SPESE TEC. AMBITO A'!I$9*'SPESE TEC. AMBITO A'!I$11*K27*1,0)*IF('SPESE TEC. AMBITO A'!$K$38="X",1,0))</f>
        <v>0</v>
      </c>
      <c r="M27" s="29">
        <v>5.8000000000000003E-2</v>
      </c>
      <c r="N27" s="32">
        <f>IF('SPESE TEC. AMBITO A'!J$4&gt;$F27,($F27-$F26)*(0.03+10/POWER(($F27-$F26),0.4))*'SPESE TEC. AMBITO A'!J$9*'SPESE TEC. AMBITO A'!J$11*M27*IF('SPESE TEC. AMBITO A'!$N$38="X",1,0),IF(('SPESE TEC. AMBITO A'!J$4-$F26)&gt;0,('SPESE TEC. AMBITO A'!J$4-$F26)*(0.03+10/POWER(('SPESE TEC. AMBITO A'!J$4-$F26),0.4))*'SPESE TEC. AMBITO A'!J$9*'SPESE TEC. AMBITO A'!J$11*M27*1,0)*IF('SPESE TEC. AMBITO A'!$N$38="X",1,0))</f>
        <v>0</v>
      </c>
      <c r="O27" s="29">
        <v>4.8000000000000001E-2</v>
      </c>
      <c r="P27" s="31"/>
      <c r="Q27" s="31"/>
      <c r="R27" s="31"/>
      <c r="S27" s="29">
        <v>4.8000000000000001E-2</v>
      </c>
      <c r="T27" s="32">
        <f>IF('SPESE TEC. AMBITO A'!M$4&gt;$F27,($F27-$F26)*(0.03+10/POWER(($F27-$F26),0.4))*'SPESE TEC. AMBITO A'!M$9*S27*IF('SPESE TEC. AMBITO A'!$Q$38="X",1,0),IF(('SPESE TEC. AMBITO A'!M$4-$F26)&gt;0,('SPESE TEC. AMBITO A'!M$4-$F26)*(0.03+10/POWER(('SPESE TEC. AMBITO A'!M$4-$F26),0.4))*'SPESE TEC. AMBITO A'!M$9*S27*1,0)*IF('SPESE TEC. AMBITO A'!$Q$38="X",1,0))</f>
        <v>0</v>
      </c>
      <c r="U27" s="31"/>
      <c r="V27" s="32">
        <f>IF('SPESE TEC. AMBITO A'!N$4&gt;$F27,($F27-$F26)*(0.03+10/POWER(($F27-$F26),0.4))*'SPESE TEC. AMBITO A'!N$9*U27*IF('SPESE TEC. AMBITO A'!$T$38="X",1,0),IF(('SPESE TEC. AMBITO A'!N$4-$F26)&gt;0,('SPESE TEC. AMBITO A'!N$4-$F26)*(0.03+10/POWER(('SPESE TEC. AMBITO A'!N$4-$F26),0.4))*'SPESE TEC. AMBITO A'!N$9*U27*1,0)*IF('SPESE TEC. AMBITO A'!$T$38="X",1,0))</f>
        <v>0</v>
      </c>
      <c r="W27"/>
    </row>
    <row r="28" spans="1:23" s="1" customFormat="1" ht="22.5">
      <c r="A28" s="359"/>
      <c r="B28" s="359"/>
      <c r="C28" s="196" t="s">
        <v>110</v>
      </c>
      <c r="D28" s="401"/>
      <c r="E28" s="196" t="s">
        <v>84</v>
      </c>
      <c r="F28" s="285">
        <v>1000000</v>
      </c>
      <c r="G28" s="29">
        <v>1.2999999999999999E-2</v>
      </c>
      <c r="H28" s="32">
        <f>IF('SPESE TEC. AMBITO A'!G$4&gt;$F28,($F28-$F27)*(0.03+10/POWER(($F28-$F27),0.4))*'SPESE TEC. AMBITO A'!G$9*G28*IF('SPESE TEC. AMBITO A'!$E$38="X",1,0),IF(('SPESE TEC. AMBITO A'!G$4-$F27)&gt;0,('SPESE TEC. AMBITO A'!G$4-$F27)*(0.03+10/POWER(('SPESE TEC. AMBITO A'!G$4-$F27),0.4))*'SPESE TEC. AMBITO A'!G$9*G28,0)*IF('SPESE TEC. AMBITO A'!$E$38="X",1,0))</f>
        <v>0</v>
      </c>
      <c r="I28" s="29">
        <v>1.2999999999999999E-2</v>
      </c>
      <c r="J28" s="32">
        <f>IF('SPESE TEC. AMBITO A'!H$4&gt;$F28,($F28-$F27)*(0.03+10/POWER(($F28-$F27),0.4))*'SPESE TEC. AMBITO A'!H$9*'SPESE TEC. AMBITO A'!H$11*I28*IF('SPESE TEC. AMBITO A'!$H$38="X",1,0),IF(('SPESE TEC. AMBITO A'!H$4-$F27)&gt;0,('SPESE TEC. AMBITO A'!H$4-$F27)*(0.03+10/POWER(('SPESE TEC. AMBITO A'!H$4-$F27),0.4))*'SPESE TEC. AMBITO A'!H$9*'SPESE TEC. AMBITO A'!H$11*I28,0)*IF('SPESE TEC. AMBITO A'!$H$38="X",1,0))</f>
        <v>0</v>
      </c>
      <c r="K28" s="29">
        <v>1.2999999999999999E-2</v>
      </c>
      <c r="L28" s="32">
        <f>IF('SPESE TEC. AMBITO A'!I$4&gt;$F28,($F28-$F27)*(0.03+10/POWER(($F28-$F27),0.4))*'SPESE TEC. AMBITO A'!I$9*'SPESE TEC. AMBITO A'!I$11*K28*IF('SPESE TEC. AMBITO A'!$K$38="X",1,0),IF(('SPESE TEC. AMBITO A'!I$4-$F27)&gt;0,('SPESE TEC. AMBITO A'!I$4-$F27)*(0.03+10/POWER(('SPESE TEC. AMBITO A'!I$4-$F27),0.4))*'SPESE TEC. AMBITO A'!I$9*'SPESE TEC. AMBITO A'!I$11*K28*1,0)*IF('SPESE TEC. AMBITO A'!$K$38="X",1,0))</f>
        <v>0</v>
      </c>
      <c r="M28" s="29">
        <v>4.7E-2</v>
      </c>
      <c r="N28" s="32">
        <f>IF('SPESE TEC. AMBITO A'!J$4&gt;$F28,($F28-$F27)*(0.03+10/POWER(($F28-$F27),0.4))*'SPESE TEC. AMBITO A'!J$9*'SPESE TEC. AMBITO A'!J$11*M28*IF('SPESE TEC. AMBITO A'!$N$38="X",1,0),IF(('SPESE TEC. AMBITO A'!J$4-$F27)&gt;0,('SPESE TEC. AMBITO A'!J$4-$F27)*(0.03+10/POWER(('SPESE TEC. AMBITO A'!J$4-$F27),0.4))*'SPESE TEC. AMBITO A'!J$9*'SPESE TEC. AMBITO A'!J$11*M28*1,0)*IF('SPESE TEC. AMBITO A'!$N$38="X",1,0))</f>
        <v>0</v>
      </c>
      <c r="O28" s="29">
        <v>4.3999999999999997E-2</v>
      </c>
      <c r="P28" s="31"/>
      <c r="Q28" s="31"/>
      <c r="R28" s="31"/>
      <c r="S28" s="29">
        <v>4.3999999999999997E-2</v>
      </c>
      <c r="T28" s="32">
        <f>IF('SPESE TEC. AMBITO A'!M$4&gt;$F28,($F28-$F27)*(0.03+10/POWER(($F28-$F27),0.4))*'SPESE TEC. AMBITO A'!M$9*S28*IF('SPESE TEC. AMBITO A'!$Q$38="X",1,0),IF(('SPESE TEC. AMBITO A'!M$4-$F27)&gt;0,('SPESE TEC. AMBITO A'!M$4-$F27)*(0.03+10/POWER(('SPESE TEC. AMBITO A'!M$4-$F27),0.4))*'SPESE TEC. AMBITO A'!M$9*S28*1,0)*IF('SPESE TEC. AMBITO A'!$Q$38="X",1,0))</f>
        <v>0</v>
      </c>
      <c r="U28" s="31"/>
      <c r="V28" s="32">
        <f>IF('SPESE TEC. AMBITO A'!N$4&gt;$F28,($F28-$F27)*(0.03+10/POWER(($F28-$F27),0.4))*'SPESE TEC. AMBITO A'!N$9*U28*IF('SPESE TEC. AMBITO A'!$T$38="X",1,0),IF(('SPESE TEC. AMBITO A'!N$4-$F27)&gt;0,('SPESE TEC. AMBITO A'!N$4-$F27)*(0.03+10/POWER(('SPESE TEC. AMBITO A'!N$4-$F27),0.4))*'SPESE TEC. AMBITO A'!N$9*U28*1,0)*IF('SPESE TEC. AMBITO A'!$T$38="X",1,0))</f>
        <v>0</v>
      </c>
      <c r="W28"/>
    </row>
    <row r="29" spans="1:23" s="1" customFormat="1" ht="22.5">
      <c r="A29" s="359"/>
      <c r="B29" s="359"/>
      <c r="C29" s="196" t="s">
        <v>110</v>
      </c>
      <c r="D29" s="401"/>
      <c r="E29" s="196" t="s">
        <v>84</v>
      </c>
      <c r="F29" s="285">
        <v>2500000</v>
      </c>
      <c r="G29" s="29">
        <v>1.7999999999999999E-2</v>
      </c>
      <c r="H29" s="32">
        <f>IF('SPESE TEC. AMBITO A'!G$4&gt;$F29,($F29-$F28)*(0.03+10/POWER(($F29-$F28),0.4))*'SPESE TEC. AMBITO A'!G$9*G29*IF('SPESE TEC. AMBITO A'!$E$38="X",1,0),IF(('SPESE TEC. AMBITO A'!G$4-$F28)&gt;0,('SPESE TEC. AMBITO A'!G$4-$F28)*(0.03+10/POWER(('SPESE TEC. AMBITO A'!G$4-$F28),0.4))*'SPESE TEC. AMBITO A'!G$9*G29,0)*IF('SPESE TEC. AMBITO A'!$E$38="X",1,0))</f>
        <v>0</v>
      </c>
      <c r="I29" s="29">
        <v>1.7999999999999999E-2</v>
      </c>
      <c r="J29" s="32">
        <f>IF('SPESE TEC. AMBITO A'!H$4&gt;$F29,($F29-$F28)*(0.03+10/POWER(($F29-$F28),0.4))*'SPESE TEC. AMBITO A'!H$9*'SPESE TEC. AMBITO A'!H$11*I29*IF('SPESE TEC. AMBITO A'!$H$38="X",1,0),IF(('SPESE TEC. AMBITO A'!H$4-$F28)&gt;0,('SPESE TEC. AMBITO A'!H$4-$F28)*(0.03+10/POWER(('SPESE TEC. AMBITO A'!H$4-$F28),0.4))*'SPESE TEC. AMBITO A'!H$9*'SPESE TEC. AMBITO A'!H$11*I29,0)*IF('SPESE TEC. AMBITO A'!$H$38="X",1,0))</f>
        <v>0</v>
      </c>
      <c r="K29" s="29">
        <v>1.7999999999999999E-2</v>
      </c>
      <c r="L29" s="32">
        <f>IF('SPESE TEC. AMBITO A'!I$4&gt;$F29,($F29-$F28)*(0.03+10/POWER(($F29-$F28),0.4))*'SPESE TEC. AMBITO A'!I$9*'SPESE TEC. AMBITO A'!I$11*K29*IF('SPESE TEC. AMBITO A'!$K$38="X",1,0),IF(('SPESE TEC. AMBITO A'!I$4-$F28)&gt;0,('SPESE TEC. AMBITO A'!I$4-$F28)*(0.03+10/POWER(('SPESE TEC. AMBITO A'!I$4-$F28),0.4))*'SPESE TEC. AMBITO A'!I$9*'SPESE TEC. AMBITO A'!I$11*K29*1,0)*IF('SPESE TEC. AMBITO A'!$K$38="X",1,0))</f>
        <v>0</v>
      </c>
      <c r="M29" s="29">
        <v>3.4000000000000002E-2</v>
      </c>
      <c r="N29" s="32">
        <f>IF('SPESE TEC. AMBITO A'!J$4&gt;$F29,($F29-$F28)*(0.03+10/POWER(($F29-$F28),0.4))*'SPESE TEC. AMBITO A'!J$9*'SPESE TEC. AMBITO A'!J$11*M29*IF('SPESE TEC. AMBITO A'!$N$38="X",1,0),IF(('SPESE TEC. AMBITO A'!J$4-$F28)&gt;0,('SPESE TEC. AMBITO A'!J$4-$F28)*(0.03+10/POWER(('SPESE TEC. AMBITO A'!J$4-$F28),0.4))*'SPESE TEC. AMBITO A'!J$9*'SPESE TEC. AMBITO A'!J$11*M29*1,0)*IF('SPESE TEC. AMBITO A'!$N$38="X",1,0))</f>
        <v>0</v>
      </c>
      <c r="O29" s="29">
        <v>4.2000000000000003E-2</v>
      </c>
      <c r="P29" s="31"/>
      <c r="Q29" s="31"/>
      <c r="R29" s="31"/>
      <c r="S29" s="29">
        <v>4.2000000000000003E-2</v>
      </c>
      <c r="T29" s="32">
        <f>IF('SPESE TEC. AMBITO A'!M$4&gt;$F29,($F29-$F28)*(0.03+10/POWER(($F29-$F28),0.4))*'SPESE TEC. AMBITO A'!M$9*S29*IF('SPESE TEC. AMBITO A'!$Q$38="X",1,0),IF(('SPESE TEC. AMBITO A'!M$4-$F28)&gt;0,('SPESE TEC. AMBITO A'!M$4-$F28)*(0.03+10/POWER(('SPESE TEC. AMBITO A'!M$4-$F28),0.4))*'SPESE TEC. AMBITO A'!M$9*S29*1,0)*IF('SPESE TEC. AMBITO A'!$Q$38="X",1,0))</f>
        <v>0</v>
      </c>
      <c r="U29" s="31"/>
      <c r="V29" s="32">
        <f>IF('SPESE TEC. AMBITO A'!N$4&gt;$F29,($F29-$F28)*(0.03+10/POWER(($F29-$F28),0.4))*'SPESE TEC. AMBITO A'!N$9*U29*IF('SPESE TEC. AMBITO A'!$T$38="X",1,0),IF(('SPESE TEC. AMBITO A'!N$4-$F28)&gt;0,('SPESE TEC. AMBITO A'!N$4-$F28)*(0.03+10/POWER(('SPESE TEC. AMBITO A'!N$4-$F28),0.4))*'SPESE TEC. AMBITO A'!N$9*U29*1,0)*IF('SPESE TEC. AMBITO A'!$T$38="X",1,0))</f>
        <v>0</v>
      </c>
      <c r="W29"/>
    </row>
    <row r="30" spans="1:23" s="1" customFormat="1" ht="22.5">
      <c r="A30" s="359"/>
      <c r="B30" s="359"/>
      <c r="C30" s="196" t="s">
        <v>110</v>
      </c>
      <c r="D30" s="401"/>
      <c r="E30" s="196" t="s">
        <v>84</v>
      </c>
      <c r="F30" s="285">
        <v>10000000</v>
      </c>
      <c r="G30" s="29">
        <v>2.1999999999999999E-2</v>
      </c>
      <c r="H30" s="32">
        <f>IF('SPESE TEC. AMBITO A'!G$4&gt;$F30,($F30-$F29)*(0.03+10/POWER(($F30-$F29),0.4))*'SPESE TEC. AMBITO A'!G$9*G30*IF('SPESE TEC. AMBITO A'!$E$38="X",1,0),IF(('SPESE TEC. AMBITO A'!G$4-$F29)&gt;0,('SPESE TEC. AMBITO A'!G$4-$F29)*(0.03+10/POWER(('SPESE TEC. AMBITO A'!G$4-$F29),0.4))*'SPESE TEC. AMBITO A'!G$9*G30,0)*IF('SPESE TEC. AMBITO A'!$E$38="X",1,0))</f>
        <v>0</v>
      </c>
      <c r="I30" s="29">
        <v>2.1999999999999999E-2</v>
      </c>
      <c r="J30" s="32">
        <f>IF('SPESE TEC. AMBITO A'!H$4&gt;$F30,($F30-$F29)*(0.03+10/POWER(($F30-$F29),0.4))*'SPESE TEC. AMBITO A'!H$9*'SPESE TEC. AMBITO A'!H$11*I30*IF('SPESE TEC. AMBITO A'!$H$38="X",1,0),IF(('SPESE TEC. AMBITO A'!H$4-$F29)&gt;0,('SPESE TEC. AMBITO A'!H$4-$F29)*(0.03+10/POWER(('SPESE TEC. AMBITO A'!H$4-$F29),0.4))*'SPESE TEC. AMBITO A'!H$9*'SPESE TEC. AMBITO A'!H$11*I30,0)*IF('SPESE TEC. AMBITO A'!$H$38="X",1,0))</f>
        <v>0</v>
      </c>
      <c r="K30" s="29">
        <v>2.1999999999999999E-2</v>
      </c>
      <c r="L30" s="32">
        <f>IF('SPESE TEC. AMBITO A'!I$4&gt;$F30,($F30-$F29)*(0.03+10/POWER(($F30-$F29),0.4))*'SPESE TEC. AMBITO A'!I$9*'SPESE TEC. AMBITO A'!I$11*IF('SPESE TEC. AMBITO A'!$K$38="X",1,0),IF(('SPESE TEC. AMBITO A'!I$4-$F29)&gt;0,('SPESE TEC. AMBITO A'!I$4-$F29)*(0.03+10/POWER(('SPESE TEC. AMBITO A'!I$4-$F29),0.4))*'SPESE TEC. AMBITO A'!I$9*'SPESE TEC. AMBITO A'!I$11*K30*1,0)*IF('SPESE TEC. AMBITO A'!$K$38="X",1,0))</f>
        <v>0</v>
      </c>
      <c r="M30" s="29">
        <v>1.9E-2</v>
      </c>
      <c r="N30" s="32">
        <f>IF('SPESE TEC. AMBITO A'!J$4&gt;$F30,($F30-$F29)*(0.03+10/POWER(($F30-$F29),0.4))*'SPESE TEC. AMBITO A'!J$9*'SPESE TEC. AMBITO A'!J$11*M30*IF('SPESE TEC. AMBITO A'!$N$38="X",1,0),IF(('SPESE TEC. AMBITO A'!J$4-$F29)&gt;0,('SPESE TEC. AMBITO A'!J$4-$F29)*(0.03+10/POWER(('SPESE TEC. AMBITO A'!J$4-$F29),0.4))*'SPESE TEC. AMBITO A'!J$9*'SPESE TEC. AMBITO A'!J$11*M30*1,0)*IF('SPESE TEC. AMBITO A'!$N$38="X",1,0))</f>
        <v>0</v>
      </c>
      <c r="O30" s="29">
        <v>2.7E-2</v>
      </c>
      <c r="P30" s="31"/>
      <c r="Q30" s="31"/>
      <c r="R30" s="31"/>
      <c r="S30" s="29">
        <v>2.7E-2</v>
      </c>
      <c r="T30" s="32">
        <f>IF('SPESE TEC. AMBITO A'!M$4&gt;$F30,($F30-$F29)*(0.03+10/POWER(($F30-$F29),0.4))*'SPESE TEC. AMBITO A'!M$9*S30*IF('SPESE TEC. AMBITO A'!$Q$38="X",1,0),IF(('SPESE TEC. AMBITO A'!M$4-$F29)&gt;0,('SPESE TEC. AMBITO A'!M$4-$F29)*(0.03+10/POWER(('SPESE TEC. AMBITO A'!M$4-$F29),0.4))*'SPESE TEC. AMBITO A'!M$9*S30*1,0)*IF('SPESE TEC. AMBITO A'!$Q$38="X",1,0))</f>
        <v>0</v>
      </c>
      <c r="U30" s="31"/>
      <c r="V30" s="32">
        <f>IF('SPESE TEC. AMBITO A'!N$4&gt;$F30,($F30-$F29)*(0.03+10/POWER(($F30-$F29),0.4))*'SPESE TEC. AMBITO A'!N$9*U30*IF('SPESE TEC. AMBITO A'!$T$38="X",1,0),IF(('SPESE TEC. AMBITO A'!N$4-$F29)&gt;0,('SPESE TEC. AMBITO A'!N$4-$F29)*(0.03+10/POWER(('SPESE TEC. AMBITO A'!N$4-$F29),0.4))*'SPESE TEC. AMBITO A'!N$9*U30*1,0)*IF('SPESE TEC. AMBITO A'!$T$38="X",1,0))</f>
        <v>0</v>
      </c>
      <c r="W30"/>
    </row>
    <row r="31" spans="1:23" s="1" customFormat="1" ht="22.5">
      <c r="A31" s="359"/>
      <c r="B31" s="359"/>
      <c r="C31" s="196" t="s">
        <v>110</v>
      </c>
      <c r="D31" s="401"/>
      <c r="E31" s="196" t="s">
        <v>63</v>
      </c>
      <c r="F31" s="286"/>
      <c r="G31" s="29">
        <v>2.1000000000000001E-2</v>
      </c>
      <c r="H31" s="32">
        <f>IF('SPESE TEC. AMBITO A'!G$4&gt;$F30,('SPESE TEC. AMBITO A'!G$4-$F30)*(0.03+10/POWER(('SPESE TEC. AMBITO A'!G$4-$F30),0.4))*'SPESE TEC. AMBITO A'!G$9*G31*IF('SPESE TEC. AMBITO A'!$E$38="X",1,0),0)*IF('SPESE TEC. AMBITO A'!$E$38="X",1,0)</f>
        <v>0</v>
      </c>
      <c r="I31" s="29">
        <v>2.1000000000000001E-2</v>
      </c>
      <c r="J31" s="32">
        <f>IF('SPESE TEC. AMBITO A'!H$4&gt;$F30,('SPESE TEC. AMBITO A'!H$4-$F30)*(0.03+10/POWER(('SPESE TEC. AMBITO A'!H$4-$F30),0.4))*'SPESE TEC. AMBITO A'!H$9*'SPESE TEC. AMBITO A'!H$11*I31*IF('SPESE TEC. AMBITO A'!$H$38="X",1,0),0)*IF('SPESE TEC. AMBITO A'!$H$38="X",1,0)</f>
        <v>0</v>
      </c>
      <c r="K31" s="29">
        <v>2.1000000000000001E-2</v>
      </c>
      <c r="L31" s="32">
        <f>IF('SPESE TEC. AMBITO A'!I$4&gt;$F30,('SPESE TEC. AMBITO A'!I$4-$F30)*(0.03+10/POWER(('SPESE TEC. AMBITO A'!I$4-$F30),0.4))*'SPESE TEC. AMBITO A'!I$9*'SPESE TEC. AMBITO A'!I$11*K31*1*IF('SPESE TEC. AMBITO A'!$K$38="X",1,0),0)*IF('SPESE TEC. AMBITO A'!$K$38="X",1,0)</f>
        <v>0</v>
      </c>
      <c r="M31" s="29">
        <v>1.7999999999999999E-2</v>
      </c>
      <c r="N31" s="32">
        <f>IF('SPESE TEC. AMBITO A'!J$4&gt;$F30,('SPESE TEC. AMBITO A'!J$4-$F30)*(0.03+10/POWER(('SPESE TEC. AMBITO A'!J$4-$F30),0.4))*'SPESE TEC. AMBITO A'!J$9*'SPESE TEC. AMBITO A'!J$11*M31*1*IF('SPESE TEC. AMBITO A'!$N$38="X",1,0),0)*IF('SPESE TEC. AMBITO A'!$N$38="X",1,0)</f>
        <v>0</v>
      </c>
      <c r="O31" s="29">
        <v>2.5000000000000001E-2</v>
      </c>
      <c r="P31" s="31"/>
      <c r="Q31" s="31"/>
      <c r="R31" s="31"/>
      <c r="S31" s="29">
        <v>2.5000000000000001E-2</v>
      </c>
      <c r="T31" s="32">
        <f>IF('SPESE TEC. AMBITO A'!M$4&gt;$F30,('SPESE TEC. AMBITO A'!M$4-$F30)*(0.03+10/POWER(('SPESE TEC. AMBITO A'!M$4-$F30),0.4))*'SPESE TEC. AMBITO A'!M$9*S31*1*IF('SPESE TEC. AMBITO A'!$Q$38="X",1,0),0)*IF('SPESE TEC. AMBITO A'!$Q$38="X",1,0)</f>
        <v>0</v>
      </c>
      <c r="U31" s="31"/>
      <c r="V31" s="32">
        <f>IF('SPESE TEC. AMBITO A'!N$4&gt;$F30,('SPESE TEC. AMBITO A'!N$4-$F30)*(0.03+10/POWER(('SPESE TEC. AMBITO A'!N$4-$F30),0.4))*'SPESE TEC. AMBITO A'!N$9*U31*1*IF('SPESE TEC. AMBITO A'!$T$38="X",1,0),0)*IF('SPESE TEC. AMBITO A'!$T$38="X",1,0)</f>
        <v>0</v>
      </c>
      <c r="W31"/>
    </row>
    <row r="32" spans="1:23" s="1" customFormat="1" ht="15" customHeight="1">
      <c r="A32" s="359"/>
      <c r="B32" s="359"/>
      <c r="C32" s="196" t="s">
        <v>111</v>
      </c>
      <c r="D32" s="402" t="s">
        <v>127</v>
      </c>
      <c r="E32" s="402"/>
      <c r="F32" s="402"/>
      <c r="G32" s="29">
        <v>0.02</v>
      </c>
      <c r="H32" s="32">
        <f>IF('SPESE TEC. AMBITO A'!$E39="X",1,0)*'SPESE TEC. AMBITO A'!G$4*'SPESE TEC. AMBITO A'!G$7*'SPESE TEC. AMBITO A'!G$9*'SPESE TEC. AMBITO A'!G$11*G32</f>
        <v>0</v>
      </c>
      <c r="I32" s="29">
        <v>0.02</v>
      </c>
      <c r="J32" s="32">
        <f>IF('SPESE TEC. AMBITO A'!$H39="X",1,0)*'SPESE TEC. AMBITO A'!H$4*'SPESE TEC. AMBITO A'!H$7*'SPESE TEC. AMBITO A'!H$9*'SPESE TEC. AMBITO A'!H$11*I32</f>
        <v>0</v>
      </c>
      <c r="K32" s="29">
        <v>0.02</v>
      </c>
      <c r="L32" s="32">
        <f>IF('SPESE TEC. AMBITO A'!$K39="X",1,0)*'SPESE TEC. AMBITO A'!I$4*'SPESE TEC. AMBITO A'!I$7*'SPESE TEC. AMBITO A'!I$9*'SPESE TEC. AMBITO A'!I$11*K32*1</f>
        <v>0</v>
      </c>
      <c r="M32" s="29">
        <v>0.02</v>
      </c>
      <c r="N32" s="32">
        <f>IF('SPESE TEC. AMBITO A'!$N39="X",1,0)*'SPESE TEC. AMBITO A'!J$4*'SPESE TEC. AMBITO A'!J$7*'SPESE TEC. AMBITO A'!J$9*'SPESE TEC. AMBITO A'!J$11*M32*1</f>
        <v>0</v>
      </c>
      <c r="O32" s="29">
        <v>0.02</v>
      </c>
      <c r="P32" s="31"/>
      <c r="Q32" s="29">
        <v>0.02</v>
      </c>
      <c r="R32" s="31"/>
      <c r="S32" s="29">
        <v>0.02</v>
      </c>
      <c r="T32" s="32">
        <f>IF('SPESE TEC. AMBITO A'!$Q39="X",1,0)*'SPESE TEC. AMBITO A'!M$4*'SPESE TEC. AMBITO A'!M$7*'SPESE TEC. AMBITO A'!M$9*'SPESE TEC. AMBITO A'!M$11*S32*1</f>
        <v>0</v>
      </c>
      <c r="U32" s="31"/>
      <c r="V32" s="32">
        <f>IF('SPESE TEC. AMBITO A'!$T39="X",1,0)*'SPESE TEC. AMBITO A'!N$4*'SPESE TEC. AMBITO A'!N$7*'SPESE TEC. AMBITO A'!N$9*'SPESE TEC. AMBITO A'!N$11*U32*1</f>
        <v>0</v>
      </c>
      <c r="W32"/>
    </row>
    <row r="33" spans="1:23" s="1" customFormat="1" ht="15" customHeight="1">
      <c r="A33" s="359"/>
      <c r="B33" s="359"/>
      <c r="C33" s="196" t="s">
        <v>112</v>
      </c>
      <c r="D33" s="401" t="s">
        <v>113</v>
      </c>
      <c r="E33" s="401"/>
      <c r="F33" s="401"/>
      <c r="G33" s="29">
        <v>0.03</v>
      </c>
      <c r="H33" s="32">
        <f>IF('SPESE TEC. AMBITO A'!$E40="X",1,0)*'SPESE TEC. AMBITO A'!G$4*'SPESE TEC. AMBITO A'!G$7*'SPESE TEC. AMBITO A'!G$9*'SPESE TEC. AMBITO A'!G$11*G33</f>
        <v>0</v>
      </c>
      <c r="I33" s="29">
        <v>0.03</v>
      </c>
      <c r="J33" s="32">
        <f>IF('SPESE TEC. AMBITO A'!$H40="X",1,0)*'SPESE TEC. AMBITO A'!H$4*'SPESE TEC. AMBITO A'!H$7*'SPESE TEC. AMBITO A'!H$9*'SPESE TEC. AMBITO A'!H$11*I33</f>
        <v>0</v>
      </c>
      <c r="K33" s="29">
        <v>0.01</v>
      </c>
      <c r="L33" s="32">
        <f>IF('SPESE TEC. AMBITO A'!$K40="X",1,0)*'SPESE TEC. AMBITO A'!I$4*'SPESE TEC. AMBITO A'!I$7*'SPESE TEC. AMBITO A'!I$9*'SPESE TEC. AMBITO A'!I$11*K33*1</f>
        <v>0</v>
      </c>
      <c r="M33" s="29">
        <v>0.03</v>
      </c>
      <c r="N33" s="32">
        <f>IF('SPESE TEC. AMBITO A'!$N40="X",1,0)*'SPESE TEC. AMBITO A'!J$4*'SPESE TEC. AMBITO A'!J$7*'SPESE TEC. AMBITO A'!J$9*'SPESE TEC. AMBITO A'!J$11*M33*1</f>
        <v>0</v>
      </c>
      <c r="O33" s="29">
        <v>0.01</v>
      </c>
      <c r="P33" s="31"/>
      <c r="Q33" s="31"/>
      <c r="R33" s="31"/>
      <c r="S33" s="29">
        <v>0.03</v>
      </c>
      <c r="T33" s="32">
        <f>IF('SPESE TEC. AMBITO A'!$Q40="X",1,0)*'SPESE TEC. AMBITO A'!M$4*'SPESE TEC. AMBITO A'!M$7*'SPESE TEC. AMBITO A'!M$9*'SPESE TEC. AMBITO A'!M$11*S33*1</f>
        <v>0</v>
      </c>
      <c r="U33" s="31"/>
      <c r="V33" s="32">
        <f>IF('SPESE TEC. AMBITO A'!$T40="X",1,0)*'SPESE TEC. AMBITO A'!N$4*'SPESE TEC. AMBITO A'!N$7*'SPESE TEC. AMBITO A'!N$9*'SPESE TEC. AMBITO A'!N$11*U33*1</f>
        <v>0</v>
      </c>
      <c r="W33"/>
    </row>
    <row r="34" spans="1:23" s="1" customFormat="1" ht="15" customHeight="1">
      <c r="A34" s="359"/>
      <c r="B34" s="359"/>
      <c r="C34" s="196" t="s">
        <v>114</v>
      </c>
      <c r="D34" s="401" t="s">
        <v>247</v>
      </c>
      <c r="E34" s="401"/>
      <c r="F34" s="401"/>
      <c r="G34" s="29">
        <v>0.03</v>
      </c>
      <c r="H34" s="32">
        <f>IF('SPESE TEC. AMBITO A'!$E41="X",1,0)*'SPESE TEC. AMBITO A'!G$4*'SPESE TEC. AMBITO A'!G$7*'SPESE TEC. AMBITO A'!G$9*'SPESE TEC. AMBITO A'!G$11*G34</f>
        <v>0</v>
      </c>
      <c r="I34" s="29">
        <v>0.03</v>
      </c>
      <c r="J34" s="32">
        <f>IF('SPESE TEC. AMBITO A'!$H41="X",1,0)*'SPESE TEC. AMBITO A'!H$4*'SPESE TEC. AMBITO A'!H$7*'SPESE TEC. AMBITO A'!H$9*'SPESE TEC. AMBITO A'!H$11*I34</f>
        <v>0</v>
      </c>
      <c r="K34" s="29">
        <v>0.03</v>
      </c>
      <c r="L34" s="32">
        <f>IF('SPESE TEC. AMBITO A'!$K41="X",1,0)*'SPESE TEC. AMBITO A'!I$4*'SPESE TEC. AMBITO A'!I$7*'SPESE TEC. AMBITO A'!I$9*'SPESE TEC. AMBITO A'!I$11*K34*1</f>
        <v>0</v>
      </c>
      <c r="M34" s="31"/>
      <c r="N34" s="32">
        <f>IF('SPESE TEC. AMBITO A'!$N41="X",1,0)*'SPESE TEC. AMBITO A'!J$4*'SPESE TEC. AMBITO A'!J$7*'SPESE TEC. AMBITO A'!J$9*'SPESE TEC. AMBITO A'!J$11*M34*1</f>
        <v>0</v>
      </c>
      <c r="O34" s="31"/>
      <c r="P34" s="31"/>
      <c r="Q34" s="31"/>
      <c r="R34" s="31"/>
      <c r="S34" s="31"/>
      <c r="T34" s="32">
        <f>IF('SPESE TEC. AMBITO A'!$Q41="X",1,0)*'SPESE TEC. AMBITO A'!M$4*'SPESE TEC. AMBITO A'!M$7*'SPESE TEC. AMBITO A'!M$9*'SPESE TEC. AMBITO A'!M$11*S34*1</f>
        <v>0</v>
      </c>
      <c r="U34" s="31"/>
      <c r="V34" s="32">
        <f>IF('SPESE TEC. AMBITO A'!$T41="X",1,0)*'SPESE TEC. AMBITO A'!N$4*'SPESE TEC. AMBITO A'!N$7*'SPESE TEC. AMBITO A'!N$9*'SPESE TEC. AMBITO A'!N$11*U34*1</f>
        <v>0</v>
      </c>
      <c r="W34"/>
    </row>
    <row r="35" spans="1:23" s="1" customFormat="1" ht="15" customHeight="1">
      <c r="A35" s="359"/>
      <c r="B35" s="359"/>
      <c r="C35" s="287" t="s">
        <v>115</v>
      </c>
      <c r="D35" s="401" t="s">
        <v>116</v>
      </c>
      <c r="E35" s="401"/>
      <c r="F35" s="401"/>
      <c r="G35" s="29">
        <v>5.0000000000000001E-3</v>
      </c>
      <c r="H35" s="32">
        <f>IF('SPESE TEC. AMBITO A'!$E42="X",1,0)*'SPESE TEC. AMBITO A'!G$4*'SPESE TEC. AMBITO A'!G$7*'SPESE TEC. AMBITO A'!G$9*'SPESE TEC. AMBITO A'!G$11*G35</f>
        <v>0</v>
      </c>
      <c r="I35" s="29">
        <v>5.0000000000000001E-3</v>
      </c>
      <c r="J35" s="32">
        <f>IF('SPESE TEC. AMBITO A'!$H42="X",1,0)*'SPESE TEC. AMBITO A'!H$4*'SPESE TEC. AMBITO A'!H$7*'SPESE TEC. AMBITO A'!H$9*'SPESE TEC. AMBITO A'!H$11*I35</f>
        <v>0</v>
      </c>
      <c r="K35" s="29">
        <v>5.0000000000000001E-3</v>
      </c>
      <c r="L35" s="32">
        <f>IF('SPESE TEC. AMBITO A'!$K42="X",1,0)*'SPESE TEC. AMBITO A'!I$4*'SPESE TEC. AMBITO A'!I$7*'SPESE TEC. AMBITO A'!I$9*'SPESE TEC. AMBITO A'!I$11*K35*1</f>
        <v>0</v>
      </c>
      <c r="M35" s="31"/>
      <c r="N35" s="32">
        <f>IF('SPESE TEC. AMBITO A'!$N42="X",1,0)*'SPESE TEC. AMBITO A'!J$4*'SPESE TEC. AMBITO A'!J$7*'SPESE TEC. AMBITO A'!J$9*'SPESE TEC. AMBITO A'!J$11*M35*1</f>
        <v>0</v>
      </c>
      <c r="O35" s="31"/>
      <c r="P35" s="31"/>
      <c r="Q35" s="31"/>
      <c r="R35" s="31"/>
      <c r="S35" s="31"/>
      <c r="T35" s="32">
        <f>IF('SPESE TEC. AMBITO A'!$Q42="X",1,0)*'SPESE TEC. AMBITO A'!M$4*'SPESE TEC. AMBITO A'!M$7*'SPESE TEC. AMBITO A'!M$9*'SPESE TEC. AMBITO A'!M$11*S35*1</f>
        <v>0</v>
      </c>
      <c r="U35" s="31"/>
      <c r="V35" s="32">
        <f>IF('SPESE TEC. AMBITO A'!$T42="X",1,0)*'SPESE TEC. AMBITO A'!N$4*'SPESE TEC. AMBITO A'!N$7*'SPESE TEC. AMBITO A'!N$9*'SPESE TEC. AMBITO A'!N$11*U35*1</f>
        <v>0</v>
      </c>
      <c r="W35"/>
    </row>
    <row r="36" spans="1:23" s="1" customFormat="1" ht="15" customHeight="1">
      <c r="A36" s="359"/>
      <c r="B36" s="359"/>
      <c r="C36" s="196" t="s">
        <v>117</v>
      </c>
      <c r="D36" s="401" t="s">
        <v>118</v>
      </c>
      <c r="E36" s="401"/>
      <c r="F36" s="401"/>
      <c r="G36" s="29">
        <v>0.01</v>
      </c>
      <c r="H36" s="32">
        <f>IF('SPESE TEC. AMBITO A'!$E43="X",1,0)*'SPESE TEC. AMBITO A'!G$4*'SPESE TEC. AMBITO A'!G$7*'SPESE TEC. AMBITO A'!G$9*'SPESE TEC. AMBITO A'!G$11*G36</f>
        <v>0</v>
      </c>
      <c r="I36" s="29">
        <v>0.01</v>
      </c>
      <c r="J36" s="32">
        <f>IF('SPESE TEC. AMBITO A'!$H43="X",1,0)*'SPESE TEC. AMBITO A'!H$4*'SPESE TEC. AMBITO A'!H$7*'SPESE TEC. AMBITO A'!H$9*'SPESE TEC. AMBITO A'!H$11*I36</f>
        <v>0</v>
      </c>
      <c r="K36" s="29">
        <v>0.01</v>
      </c>
      <c r="L36" s="32">
        <f>IF('SPESE TEC. AMBITO A'!$K43="X",1,0)*'SPESE TEC. AMBITO A'!I$4*'SPESE TEC. AMBITO A'!I$7*'SPESE TEC. AMBITO A'!I$9*'SPESE TEC. AMBITO A'!I$11*K36*1</f>
        <v>0</v>
      </c>
      <c r="M36" s="29">
        <v>0.01</v>
      </c>
      <c r="N36" s="32">
        <f>IF('SPESE TEC. AMBITO A'!$N43="X",1,0)*'SPESE TEC. AMBITO A'!J$4*'SPESE TEC. AMBITO A'!J$7*'SPESE TEC. AMBITO A'!J$9*'SPESE TEC. AMBITO A'!J$11*M36*1</f>
        <v>0</v>
      </c>
      <c r="O36" s="29">
        <v>0.01</v>
      </c>
      <c r="P36" s="31"/>
      <c r="Q36" s="29">
        <v>0.01</v>
      </c>
      <c r="R36" s="31"/>
      <c r="S36" s="29">
        <v>0.01</v>
      </c>
      <c r="T36" s="32">
        <f>IF('SPESE TEC. AMBITO A'!$Q43="X",1,0)*'SPESE TEC. AMBITO A'!M$4*'SPESE TEC. AMBITO A'!M$7*'SPESE TEC. AMBITO A'!M$9*'SPESE TEC. AMBITO A'!M$11*S36*1</f>
        <v>0</v>
      </c>
      <c r="U36" s="31"/>
      <c r="V36" s="32">
        <f>IF('SPESE TEC. AMBITO A'!$T43="X",1,0)*'SPESE TEC. AMBITO A'!N$4*'SPESE TEC. AMBITO A'!N$7*'SPESE TEC. AMBITO A'!N$9*'SPESE TEC. AMBITO A'!N$11*U36*1</f>
        <v>0</v>
      </c>
      <c r="W36"/>
    </row>
    <row r="37" spans="1:23" s="1" customFormat="1" ht="15" customHeight="1">
      <c r="A37" s="359"/>
      <c r="B37" s="359"/>
      <c r="C37" s="196" t="s">
        <v>119</v>
      </c>
      <c r="D37" s="401" t="s">
        <v>120</v>
      </c>
      <c r="E37" s="196" t="s">
        <v>62</v>
      </c>
      <c r="F37" s="288">
        <v>5000000</v>
      </c>
      <c r="G37" s="29">
        <v>0.03</v>
      </c>
      <c r="H37" s="32">
        <f>IF('SPESE TEC. AMBITO A'!G$4&gt;$F37,$F37*(0.03+10/POWER($F37,0.4))*'SPESE TEC. AMBITO A'!G$9*G37*#REF!*IF('SPESE TEC. AMBITO A'!$E$44="X",1,0),'SPESE TEC. AMBITO A'!G$4*'SPESE TEC. AMBITO A'!G$7*'SPESE TEC. AMBITO A'!G$9*G37)*IF('SPESE TEC. AMBITO A'!$E$44="X",1,0)</f>
        <v>0</v>
      </c>
      <c r="I37" s="29">
        <v>3.5000000000000003E-2</v>
      </c>
      <c r="J37" s="32">
        <f>IF('SPESE TEC. AMBITO A'!H$4&gt;$F37,$F37*(0.03+10/POWER($F37,0.4))*'SPESE TEC. AMBITO A'!H$9*'SPESE TEC. AMBITO A'!H$11*I37*IF('SPESE TEC. AMBITO A'!$H$44="X",1,0),'SPESE TEC. AMBITO A'!H$4*'SPESE TEC. AMBITO A'!H$7*'SPESE TEC. AMBITO A'!H$9*'SPESE TEC. AMBITO A'!H$11*I37)*IF('SPESE TEC. AMBITO A'!$H$44="X",1,0)</f>
        <v>0</v>
      </c>
      <c r="K37" s="29">
        <v>0.03</v>
      </c>
      <c r="L37" s="32">
        <f>IF('SPESE TEC. AMBITO A'!I$4&gt;$F37,$F37*(0.03+10/POWER($F37,0.4))*'SPESE TEC. AMBITO A'!I$9*'SPESE TEC. AMBITO A'!I$11*K37*IF('SPESE TEC. AMBITO A'!$K$44="X",1,0),'SPESE TEC. AMBITO A'!I$4*'SPESE TEC. AMBITO A'!I$7*'SPESE TEC. AMBITO A'!I$9*'SPESE TEC. AMBITO A'!I$11*K37*1)*IF('SPESE TEC. AMBITO A'!$K$44="X",1,0)</f>
        <v>0</v>
      </c>
      <c r="M37" s="29">
        <v>3.5000000000000003E-2</v>
      </c>
      <c r="N37" s="32">
        <f>IF('SPESE TEC. AMBITO A'!J$4&gt;$F37,$F37*(0.03+10/POWER($F37,0.4))*'SPESE TEC. AMBITO A'!J$9*'SPESE TEC. AMBITO A'!J$11*M37*IF('SPESE TEC. AMBITO A'!$N$44="X",1,0),'SPESE TEC. AMBITO A'!J$4*'SPESE TEC. AMBITO A'!J$7*'SPESE TEC. AMBITO A'!J$9*'SPESE TEC. AMBITO A'!J$11*M37*1)*IF('SPESE TEC. AMBITO A'!$N$44="X",1,0)</f>
        <v>0</v>
      </c>
      <c r="O37" s="29">
        <v>3.5000000000000003E-2</v>
      </c>
      <c r="P37" s="31"/>
      <c r="Q37" s="29">
        <v>0.03</v>
      </c>
      <c r="R37" s="31"/>
      <c r="S37" s="29">
        <v>3.5000000000000003E-2</v>
      </c>
      <c r="T37" s="32">
        <f>IF('SPESE TEC. AMBITO A'!M$4&gt;$F37,$F37*(0.03+10/POWER($F37,0.4))*'SPESE TEC. AMBITO A'!M$9*S37*IF('SPESE TEC. AMBITO A'!$Q$44="X",1,0),'SPESE TEC. AMBITO A'!M$4*'SPESE TEC. AMBITO A'!M$7*'SPESE TEC. AMBITO A'!M$9*S37*1)*IF('SPESE TEC. AMBITO A'!$Q$44="X",1,0)</f>
        <v>0</v>
      </c>
      <c r="U37" s="31"/>
      <c r="V37" s="32">
        <f>IF('SPESE TEC. AMBITO A'!N$4&gt;$F37,$F37*(0.03+10/POWER($F37,0.4))*'SPESE TEC. AMBITO A'!N$9*U37*IF('SPESE TEC. AMBITO A'!$T$44="X",1,0),'SPESE TEC. AMBITO A'!N$4*'SPESE TEC. AMBITO A'!N$7*'SPESE TEC. AMBITO A'!N$9*U37*1)*IF('SPESE TEC. AMBITO A'!$T$44="X",1,0)</f>
        <v>0</v>
      </c>
      <c r="W37"/>
    </row>
    <row r="38" spans="1:23" s="1" customFormat="1" ht="22.5">
      <c r="A38" s="359"/>
      <c r="B38" s="359"/>
      <c r="C38" s="196" t="s">
        <v>119</v>
      </c>
      <c r="D38" s="401"/>
      <c r="E38" s="196" t="s">
        <v>84</v>
      </c>
      <c r="F38" s="285">
        <v>20000000</v>
      </c>
      <c r="G38" s="29">
        <v>1.4999999999999999E-2</v>
      </c>
      <c r="H38" s="32">
        <f>IF('SPESE TEC. AMBITO A'!G$4&gt;$F38,($F38-$F37)*(0.03+10/POWER(($F38-$F37),0.4))*'SPESE TEC. AMBITO A'!G$9*G38*#REF!*IF('SPESE TEC. AMBITO A'!$E$44="X",1,0),IF(('SPESE TEC. AMBITO A'!G$4-$F37)&gt;0,('SPESE TEC. AMBITO A'!G$4-$F37)*(0.03+10/POWER(('SPESE TEC. AMBITO A'!G$4-$F37),0.4))*'SPESE TEC. AMBITO A'!G$9*G38,0)*IF('SPESE TEC. AMBITO A'!$E$44="X",1,0))</f>
        <v>0</v>
      </c>
      <c r="I38" s="29">
        <v>0.02</v>
      </c>
      <c r="J38" s="32">
        <f>IF('SPESE TEC. AMBITO A'!H$4&gt;$F38,($F38-$F37)*(0.03+10/POWER(($F38-$F37),0.4))*'SPESE TEC. AMBITO A'!H$9*'SPESE TEC. AMBITO A'!H$11*I38*IF('SPESE TEC. AMBITO A'!$H$44="X",1,0),IF(('SPESE TEC. AMBITO A'!H$4-$F37)&gt;0,('SPESE TEC. AMBITO A'!H$4-$F37)*(0.03+10/POWER(('SPESE TEC. AMBITO A'!H$4-$F37),0.4))*'SPESE TEC. AMBITO A'!H$9*'SPESE TEC. AMBITO A'!H$11*I38,0)*IF('SPESE TEC. AMBITO A'!$H$44="X",1,0))</f>
        <v>0</v>
      </c>
      <c r="K38" s="29">
        <v>1.4999999999999999E-2</v>
      </c>
      <c r="L38" s="32">
        <f>IF('SPESE TEC. AMBITO A'!I$4&gt;$F38,($F38-$F37)*(0.03+10/POWER(($F38-$F37),0.4))*'SPESE TEC. AMBITO A'!I$9*'SPESE TEC. AMBITO A'!I$11*K38*IF('SPESE TEC. AMBITO A'!$K$44="X",1,0),IF(('SPESE TEC. AMBITO A'!I$4-$F37)&gt;0,('SPESE TEC. AMBITO A'!I$4-$F37)*(0.03+10/POWER(('SPESE TEC. AMBITO A'!I$4-$F37),0.4))*'SPESE TEC. AMBITO A'!I$9*'SPESE TEC. AMBITO A'!I$11*K38*1,0)*IF('SPESE TEC. AMBITO A'!$K$44="X",1,0))</f>
        <v>0</v>
      </c>
      <c r="M38" s="29">
        <v>0.02</v>
      </c>
      <c r="N38" s="32">
        <f>IF('SPESE TEC. AMBITO A'!J$4&gt;$F38,($F38-$F37)*(0.03+10/POWER(($F38-$F37),0.4))*'SPESE TEC. AMBITO A'!J$9*'SPESE TEC. AMBITO A'!J$11*M38*IF('SPESE TEC. AMBITO A'!$N$44="X",1,0),IF(('SPESE TEC. AMBITO A'!J$4-$F37)&gt;0,('SPESE TEC. AMBITO A'!J$4-$F37)*(0.03+10/POWER(('SPESE TEC. AMBITO A'!J$4-$F37),0.4))*'SPESE TEC. AMBITO A'!J$9*'SPESE TEC. AMBITO A'!J$11*M38*1,0)*IF('SPESE TEC. AMBITO A'!$N$44="X",1,0))</f>
        <v>0</v>
      </c>
      <c r="O38" s="29">
        <v>0.02</v>
      </c>
      <c r="P38" s="31"/>
      <c r="Q38" s="29">
        <v>1.4999999999999999E-2</v>
      </c>
      <c r="R38" s="31"/>
      <c r="S38" s="29">
        <v>0.02</v>
      </c>
      <c r="T38" s="32">
        <f>IF('SPESE TEC. AMBITO A'!M$4&gt;$F38,($F38-$F37)*(0.03+10/POWER(($F38-$F37),0.4))*'SPESE TEC. AMBITO A'!M$9*S38*IF('SPESE TEC. AMBITO A'!$Q$44="X",1,0),IF(('SPESE TEC. AMBITO A'!M$4-$F37)&gt;0,('SPESE TEC. AMBITO A'!M$4-$F37)*(0.03+10/POWER(('SPESE TEC. AMBITO A'!M$4-$F37),0.4))*'SPESE TEC. AMBITO A'!M$9*S38*1,0)*IF('SPESE TEC. AMBITO A'!$Q$44="X",1,0))</f>
        <v>0</v>
      </c>
      <c r="U38" s="31"/>
      <c r="V38" s="32">
        <f>IF('SPESE TEC. AMBITO A'!N$4&gt;$F38,($F38-$F37)*(0.03+10/POWER(($F38-$F37),0.4))*'SPESE TEC. AMBITO A'!N$9*U38*IF('SPESE TEC. AMBITO A'!$T$44="X",1,0),IF(('SPESE TEC. AMBITO A'!N$4-$F37)&gt;0,('SPESE TEC. AMBITO A'!N$4-$F37)*(0.03+10/POWER(('SPESE TEC. AMBITO A'!N$4-$F37),0.4))*'SPESE TEC. AMBITO A'!N$9*U38*1,0)*IF('SPESE TEC. AMBITO A'!$T$44="X",1,0))</f>
        <v>0</v>
      </c>
      <c r="W38"/>
    </row>
    <row r="39" spans="1:23" s="1" customFormat="1" ht="22.5">
      <c r="A39" s="359"/>
      <c r="B39" s="359"/>
      <c r="C39" s="196" t="s">
        <v>119</v>
      </c>
      <c r="D39" s="401"/>
      <c r="E39" s="196" t="s">
        <v>63</v>
      </c>
      <c r="F39" s="286"/>
      <c r="G39" s="29">
        <v>5.0000000000000001E-3</v>
      </c>
      <c r="H39" s="32">
        <f>IF('SPESE TEC. AMBITO A'!G$4&gt;$F38,('SPESE TEC. AMBITO A'!G$4-$F38)*(0.03+10/POWER(('SPESE TEC. AMBITO A'!G$4-$F38),0.4))*'SPESE TEC. AMBITO A'!G$9*G39*IF('SPESE TEC. AMBITO A'!$E$44="X",1,0),0)*IF('SPESE TEC. AMBITO A'!$E$44="X",1,0)</f>
        <v>0</v>
      </c>
      <c r="I39" s="29">
        <v>8.0000000000000002E-3</v>
      </c>
      <c r="J39" s="32">
        <f>IF('SPESE TEC. AMBITO A'!H$4&gt;$F38,('SPESE TEC. AMBITO A'!H$4-$F38)*(0.03+10/POWER(('SPESE TEC. AMBITO A'!H$4-$F38),0.4))*'SPESE TEC. AMBITO A'!H$9*'SPESE TEC. AMBITO A'!H$11*I39*IF('SPESE TEC. AMBITO A'!$H$44="X",1,0),0)*IF('SPESE TEC. AMBITO A'!$H$44="X",1,0)</f>
        <v>0</v>
      </c>
      <c r="K39" s="29">
        <v>5.0000000000000001E-3</v>
      </c>
      <c r="L39" s="32">
        <f>IF('SPESE TEC. AMBITO A'!I$4&gt;$F38,('SPESE TEC. AMBITO A'!I$4-$F38)*(0.03+10/POWER(('SPESE TEC. AMBITO A'!I$4-$F38),0.4))*'SPESE TEC. AMBITO A'!I$9*'SPESE TEC. AMBITO A'!I$11*K39*1*IF('SPESE TEC. AMBITO A'!$K$44="X",1,0),0)*IF('SPESE TEC. AMBITO A'!$K$44="X",1,0)</f>
        <v>0</v>
      </c>
      <c r="M39" s="29">
        <v>8.0000000000000002E-3</v>
      </c>
      <c r="N39" s="32">
        <f>IF('SPESE TEC. AMBITO A'!J$4&gt;$F38,('SPESE TEC. AMBITO A'!J$4-$F38)*(0.03+10/POWER(('SPESE TEC. AMBITO A'!J$4-$F38),0.4))*'SPESE TEC. AMBITO A'!J$9*'SPESE TEC. AMBITO A'!J$11*M39*1*IF('SPESE TEC. AMBITO A'!$N$44="X",1,0),0)*IF('SPESE TEC. AMBITO A'!$N$44="X",1,0)</f>
        <v>0</v>
      </c>
      <c r="O39" s="29">
        <v>8.0000000000000002E-3</v>
      </c>
      <c r="P39" s="31"/>
      <c r="Q39" s="29">
        <v>5.0000000000000001E-3</v>
      </c>
      <c r="R39" s="31"/>
      <c r="S39" s="29">
        <v>8.0000000000000002E-3</v>
      </c>
      <c r="T39" s="32">
        <f>IF('SPESE TEC. AMBITO A'!M$4&gt;$F38,('SPESE TEC. AMBITO A'!M$4-$F38)*(0.03+10/POWER(('SPESE TEC. AMBITO A'!M$4-$F38),0.4))*'SPESE TEC. AMBITO A'!M$9*S39*1*IF('SPESE TEC. AMBITO A'!$Q$44="X",1,0),0)*IF('SPESE TEC. AMBITO A'!$Q$44="X",1,0)</f>
        <v>0</v>
      </c>
      <c r="U39" s="31"/>
      <c r="V39" s="32">
        <f>IF('SPESE TEC. AMBITO A'!N$4&gt;$F38,('SPESE TEC. AMBITO A'!N$4-$F38)*(0.03+10/POWER(('SPESE TEC. AMBITO A'!N$4-$F38),0.4))*'SPESE TEC. AMBITO A'!N$9*U39*1*IF('SPESE TEC. AMBITO A'!$T$44="X",1,0),0)*IF('SPESE TEC. AMBITO A'!$T$44="X",1,0)</f>
        <v>0</v>
      </c>
      <c r="W39"/>
    </row>
    <row r="40" spans="1:23" s="1" customFormat="1" ht="15" customHeight="1">
      <c r="A40" s="359"/>
      <c r="B40" s="359"/>
      <c r="C40" s="196" t="s">
        <v>121</v>
      </c>
      <c r="D40" s="401" t="s">
        <v>122</v>
      </c>
      <c r="E40" s="196" t="s">
        <v>62</v>
      </c>
      <c r="F40" s="285">
        <v>5000000</v>
      </c>
      <c r="G40" s="29">
        <v>1.7999999999999999E-2</v>
      </c>
      <c r="H40" s="32">
        <f>IF('SPESE TEC. AMBITO A'!G$4&gt;$F40,$F40*(0.03+10/POWER($F40,0.4))*'SPESE TEC. AMBITO A'!G$9*G40*#REF!*IF('SPESE TEC. AMBITO A'!$E$45="X",1,0),'SPESE TEC. AMBITO A'!G$4*'SPESE TEC. AMBITO A'!G$7*'SPESE TEC. AMBITO A'!G$9*G40)*IF('SPESE TEC. AMBITO A'!$E$45="X",1,0)</f>
        <v>0</v>
      </c>
      <c r="I40" s="29">
        <v>0.02</v>
      </c>
      <c r="J40" s="32">
        <f>IF('SPESE TEC. AMBITO A'!H$4&gt;$F40,$F40*(0.03+10/POWER($F40,0.4))*'SPESE TEC. AMBITO A'!H$9*'SPESE TEC. AMBITO A'!H$11*I40*IF('SPESE TEC. AMBITO A'!$H$45="X",1,0),'SPESE TEC. AMBITO A'!H$4*'SPESE TEC. AMBITO A'!H$7*'SPESE TEC. AMBITO A'!H$9*'SPESE TEC. AMBITO A'!H$11*I40)*IF('SPESE TEC. AMBITO A'!$H$45="X",1,0)</f>
        <v>0</v>
      </c>
      <c r="K40" s="29">
        <v>1.7999999999999999E-2</v>
      </c>
      <c r="L40" s="32">
        <f>IF('SPESE TEC. AMBITO A'!I$4&gt;$F40,$F40*(0.03+10/POWER($F40,0.4))*'SPESE TEC. AMBITO A'!I$9*'SPESE TEC. AMBITO A'!I$11*K40*IF('SPESE TEC. AMBITO A'!$K$45="X",1,0),'SPESE TEC. AMBITO A'!I$4*'SPESE TEC. AMBITO A'!I$7*'SPESE TEC. AMBITO A'!I$9*'SPESE TEC. AMBITO A'!I$11*K40*1)*IF('SPESE TEC. AMBITO A'!$K$45="X",1,0)</f>
        <v>0</v>
      </c>
      <c r="M40" s="29">
        <v>0.02</v>
      </c>
      <c r="N40" s="32">
        <f>IF('SPESE TEC. AMBITO A'!J$4&gt;$F40,$F40*(0.03+10/POWER($F40,0.4))*'SPESE TEC. AMBITO A'!J$9*'SPESE TEC. AMBITO A'!J$11*M40*IF('SPESE TEC. AMBITO A'!$N$45="X",1,0),'SPESE TEC. AMBITO A'!J$4*'SPESE TEC. AMBITO A'!J$7*'SPESE TEC. AMBITO A'!J$9*'SPESE TEC. AMBITO A'!J$11*M40*1)*IF('SPESE TEC. AMBITO A'!$N$45="X",1,0)</f>
        <v>0</v>
      </c>
      <c r="O40" s="29">
        <v>0.02</v>
      </c>
      <c r="P40" s="31"/>
      <c r="Q40" s="29">
        <v>1.7999999999999999E-2</v>
      </c>
      <c r="R40" s="31"/>
      <c r="S40" s="29">
        <v>0.02</v>
      </c>
      <c r="T40" s="32">
        <f>IF('SPESE TEC. AMBITO A'!M$4&gt;$F40,$F40*(0.03+10/POWER($F40,0.4))*'SPESE TEC. AMBITO A'!M$9*S40*IF('SPESE TEC. AMBITO A'!$Q$45="X",1,0),'SPESE TEC. AMBITO A'!M$4*'SPESE TEC. AMBITO A'!M$7*'SPESE TEC. AMBITO A'!M$9*S40*1)*IF('SPESE TEC. AMBITO A'!$Q$45="X",1,0)</f>
        <v>0</v>
      </c>
      <c r="U40" s="31"/>
      <c r="V40" s="32">
        <f>IF('SPESE TEC. AMBITO A'!N$4&gt;$F40,$F40*(0.03+10/POWER($F40,0.4))*'SPESE TEC. AMBITO A'!N$9*U40*IF('SPESE TEC. AMBITO A'!$T$45="X",1,0),'SPESE TEC. AMBITO A'!N$4*'SPESE TEC. AMBITO A'!N$7*'SPESE TEC. AMBITO A'!N$9*U40*1)*IF('SPESE TEC. AMBITO A'!$T$45="X",1,0)</f>
        <v>0</v>
      </c>
      <c r="W40"/>
    </row>
    <row r="41" spans="1:23" s="1" customFormat="1" ht="22.5">
      <c r="A41" s="359"/>
      <c r="B41" s="359"/>
      <c r="C41" s="196" t="s">
        <v>121</v>
      </c>
      <c r="D41" s="401"/>
      <c r="E41" s="196" t="s">
        <v>84</v>
      </c>
      <c r="F41" s="285">
        <v>20000000</v>
      </c>
      <c r="G41" s="29">
        <v>8.0000000000000002E-3</v>
      </c>
      <c r="H41" s="32">
        <f>IF('SPESE TEC. AMBITO A'!G$4&gt;$F41,($F41-$F40)*(0.03+10/POWER(($F41-$F40),0.4))*'SPESE TEC. AMBITO A'!G$9*G41*#REF!*IF('SPESE TEC. AMBITO A'!$E$45="X",1,0),IF(('SPESE TEC. AMBITO A'!G$4-$F40)&gt;0,('SPESE TEC. AMBITO A'!G$4-$F40)*(0.03+10/POWER(('SPESE TEC. AMBITO A'!G$4-$F40),0.4))*'SPESE TEC. AMBITO A'!G$9*G41,0)*IF('SPESE TEC. AMBITO A'!$E$45="X",1,0))</f>
        <v>0</v>
      </c>
      <c r="I41" s="29">
        <v>0.01</v>
      </c>
      <c r="J41" s="32">
        <f>IF('SPESE TEC. AMBITO A'!H$4&gt;$F41,($F41-$F40)*(0.03+10/POWER(($F41-$F40),0.4))*'SPESE TEC. AMBITO A'!H$9*'SPESE TEC. AMBITO A'!H$11*I41*IF('SPESE TEC. AMBITO A'!$H$45="X",1,0),IF(('SPESE TEC. AMBITO A'!H$4-$F40)&gt;0,('SPESE TEC. AMBITO A'!H$4-$F40)*(0.03+10/POWER(('SPESE TEC. AMBITO A'!H$4-$F40),0.4))*'SPESE TEC. AMBITO A'!H$9*'SPESE TEC. AMBITO A'!H$11*I41,0)*IF('SPESE TEC. AMBITO A'!$H$45="X",1,0))</f>
        <v>0</v>
      </c>
      <c r="K41" s="29">
        <v>8.0000000000000002E-3</v>
      </c>
      <c r="L41" s="32">
        <f>IF('SPESE TEC. AMBITO A'!I$4&gt;$F41,($F41-$F40)*(0.03+10/POWER(($F41-$F40),0.4))*'SPESE TEC. AMBITO A'!I$9*'SPESE TEC. AMBITO A'!I$11*K41*IF('SPESE TEC. AMBITO A'!$K$45="X",1,0),IF(('SPESE TEC. AMBITO A'!I$4-$F40)&gt;0,('SPESE TEC. AMBITO A'!I$4-$F40)*(0.03+10/POWER(('SPESE TEC. AMBITO A'!I$4-$F40),0.4))*'SPESE TEC. AMBITO A'!I$9*'SPESE TEC. AMBITO A'!I$11*K41*1,0)*IF('SPESE TEC. AMBITO A'!$K$45="X",1,0))</f>
        <v>0</v>
      </c>
      <c r="M41" s="29">
        <v>0.01</v>
      </c>
      <c r="N41" s="32">
        <f>IF('SPESE TEC. AMBITO A'!J$4&gt;$F41,($F41-$F40)*(0.03+10/POWER(($F41-$F40),0.4))*'SPESE TEC. AMBITO A'!J$9*'SPESE TEC. AMBITO A'!J$11*M41*IF('SPESE TEC. AMBITO A'!$N$45="X",1,0),IF(('SPESE TEC. AMBITO A'!J$4-$F40)&gt;0,('SPESE TEC. AMBITO A'!J$4-$F40)*(0.03+10/POWER(('SPESE TEC. AMBITO A'!J$4-$F40),0.4))*'SPESE TEC. AMBITO A'!J$9*'SPESE TEC. AMBITO A'!J$11*M41*1,0)*IF('SPESE TEC. AMBITO A'!$N$45="X",1,0))</f>
        <v>0</v>
      </c>
      <c r="O41" s="29">
        <v>0.01</v>
      </c>
      <c r="P41" s="31"/>
      <c r="Q41" s="29">
        <v>8.0000000000000002E-3</v>
      </c>
      <c r="R41" s="31"/>
      <c r="S41" s="29">
        <v>0.01</v>
      </c>
      <c r="T41" s="32">
        <f>IF('SPESE TEC. AMBITO A'!M$4&gt;$F41,($F41-$F40)*(0.03+10/POWER(($F41-$F40),0.4))*'SPESE TEC. AMBITO A'!M$9*S41*IF('SPESE TEC. AMBITO A'!$Q$45="X",1,0),IF(('SPESE TEC. AMBITO A'!M$4-$F40)&gt;0,('SPESE TEC. AMBITO A'!M$4-$F40)*(0.03+10/POWER(('SPESE TEC. AMBITO A'!M$4-$F40),0.4))*'SPESE TEC. AMBITO A'!M$9*S41*1,0)*IF('SPESE TEC. AMBITO A'!$Q$45="X",1,0))</f>
        <v>0</v>
      </c>
      <c r="U41" s="31"/>
      <c r="V41" s="32">
        <f>IF('SPESE TEC. AMBITO A'!N$4&gt;$F41,($F41-$F40)*(0.03+10/POWER(($F41-$F40),0.4))*'SPESE TEC. AMBITO A'!N$9*U41*IF('SPESE TEC. AMBITO A'!$T$45="X",1,0),IF(('SPESE TEC. AMBITO A'!N$4-$F40)&gt;0,('SPESE TEC. AMBITO A'!N$4-$F40)*(0.03+10/POWER(('SPESE TEC. AMBITO A'!N$4-$F40),0.4))*'SPESE TEC. AMBITO A'!N$9*U41*1,0)*IF('SPESE TEC. AMBITO A'!$T$45="X",1,0))</f>
        <v>0</v>
      </c>
      <c r="W41"/>
    </row>
    <row r="42" spans="1:23" s="1" customFormat="1" ht="22.5">
      <c r="A42" s="359"/>
      <c r="B42" s="359"/>
      <c r="C42" s="196" t="s">
        <v>121</v>
      </c>
      <c r="D42" s="401"/>
      <c r="E42" s="196" t="s">
        <v>63</v>
      </c>
      <c r="F42" s="286"/>
      <c r="G42" s="29">
        <v>4.0000000000000001E-3</v>
      </c>
      <c r="H42" s="32">
        <f>IF('SPESE TEC. AMBITO A'!G$4&gt;$F41,('SPESE TEC. AMBITO A'!G$4-$F41)*(0.03+10/POWER(('SPESE TEC. AMBITO A'!G$4-$F41),0.4))*'SPESE TEC. AMBITO A'!G$9*G42*IF('SPESE TEC. AMBITO A'!$E$45="X",1,0),0)*IF('SPESE TEC. AMBITO A'!$E$45="X",1,0)</f>
        <v>0</v>
      </c>
      <c r="I42" s="29">
        <v>5.0000000000000001E-3</v>
      </c>
      <c r="J42" s="32">
        <f>IF('SPESE TEC. AMBITO A'!H$4&gt;$F41,('SPESE TEC. AMBITO A'!H$4-$F41)*(0.03+10/POWER(('SPESE TEC. AMBITO A'!H$4-$F41),0.4))*'SPESE TEC. AMBITO A'!H$9*'SPESE TEC. AMBITO A'!H$11*I42*IF('SPESE TEC. AMBITO A'!$H$45="X",1,0),0)*IF('SPESE TEC. AMBITO A'!$H$45="X",1,0)</f>
        <v>0</v>
      </c>
      <c r="K42" s="29">
        <v>4.0000000000000001E-3</v>
      </c>
      <c r="L42" s="32">
        <f>IF('SPESE TEC. AMBITO A'!I$4&gt;$F41,('SPESE TEC. AMBITO A'!I$4-$F41)*(0.03+10/POWER(('SPESE TEC. AMBITO A'!I$4-$F41),0.4))*'SPESE TEC. AMBITO A'!I$9*'SPESE TEC. AMBITO A'!I$11*K42*1*IF('SPESE TEC. AMBITO A'!$K$45="X",1,0),0)*IF('SPESE TEC. AMBITO A'!$K$45="X",1,0)</f>
        <v>0</v>
      </c>
      <c r="M42" s="29">
        <v>5.0000000000000001E-3</v>
      </c>
      <c r="N42" s="32">
        <f>IF('SPESE TEC. AMBITO A'!J$4&gt;$F41,('SPESE TEC. AMBITO A'!J$4-$F41)*(0.03+10/POWER(('SPESE TEC. AMBITO A'!J$4-$F41),0.4))*'SPESE TEC. AMBITO A'!J$9*'SPESE TEC. AMBITO A'!J$11*M42*1*IF('SPESE TEC. AMBITO A'!$N$45="X",1,0),0)*IF('SPESE TEC. AMBITO A'!$N$45="X",1,0)</f>
        <v>0</v>
      </c>
      <c r="O42" s="29">
        <v>5.0000000000000001E-3</v>
      </c>
      <c r="P42" s="31"/>
      <c r="Q42" s="29">
        <v>4.0000000000000001E-3</v>
      </c>
      <c r="R42" s="31"/>
      <c r="S42" s="29">
        <v>5.0000000000000001E-3</v>
      </c>
      <c r="T42" s="32">
        <f>IF('SPESE TEC. AMBITO A'!M$4&gt;$F41,('SPESE TEC. AMBITO A'!M$4-$F41)*(0.03+10/POWER(('SPESE TEC. AMBITO A'!M$4-$F41),0.4))*'SPESE TEC. AMBITO A'!M$9*S42*1*IF('SPESE TEC. AMBITO A'!$Q$45="X",1,0),0)*IF('SPESE TEC. AMBITO A'!$Q$45="X",1,0)</f>
        <v>0</v>
      </c>
      <c r="U42" s="31"/>
      <c r="V42" s="32">
        <f>IF('SPESE TEC. AMBITO A'!N$4&gt;$F41,('SPESE TEC. AMBITO A'!N$4-$F41)*(0.03+10/POWER(('SPESE TEC. AMBITO A'!N$4-$F41),0.4))*'SPESE TEC. AMBITO A'!N$9*U42*1*IF('SPESE TEC. AMBITO A'!$T$45="X",1,0),0)*IF('SPESE TEC. AMBITO A'!$T$45="X",1,0)</f>
        <v>0</v>
      </c>
      <c r="W42"/>
    </row>
    <row r="43" spans="1:23" s="1" customFormat="1" ht="15" customHeight="1">
      <c r="A43" s="359"/>
      <c r="B43" s="359"/>
      <c r="C43" s="196" t="s">
        <v>123</v>
      </c>
      <c r="D43" s="401" t="s">
        <v>124</v>
      </c>
      <c r="E43" s="401"/>
      <c r="F43" s="401"/>
      <c r="G43" s="29">
        <v>0.01</v>
      </c>
      <c r="H43" s="32">
        <f>IF('SPESE TEC. AMBITO A'!$E46="X",1,0)*'SPESE TEC. AMBITO A'!G$4*'SPESE TEC. AMBITO A'!G$7*'SPESE TEC. AMBITO A'!G$9*'SPESE TEC. AMBITO A'!G$11*G43</f>
        <v>0</v>
      </c>
      <c r="I43" s="29">
        <v>0.01</v>
      </c>
      <c r="J43" s="32">
        <f>IF('SPESE TEC. AMBITO A'!$H46="X",1,0)*'SPESE TEC. AMBITO A'!H$4*'SPESE TEC. AMBITO A'!H$7*'SPESE TEC. AMBITO A'!H$9*'SPESE TEC. AMBITO A'!H$11*I43</f>
        <v>0</v>
      </c>
      <c r="K43" s="29">
        <v>0.01</v>
      </c>
      <c r="L43" s="32">
        <f>IF('SPESE TEC. AMBITO A'!$K46="X",1,0)*'SPESE TEC. AMBITO A'!I$4*'SPESE TEC. AMBITO A'!I$7*'SPESE TEC. AMBITO A'!I$9*'SPESE TEC. AMBITO A'!I$11*K43*1</f>
        <v>0</v>
      </c>
      <c r="M43" s="29">
        <v>0.01</v>
      </c>
      <c r="N43" s="32">
        <f>IF('SPESE TEC. AMBITO A'!$N46="X",1,0)*'SPESE TEC. AMBITO A'!J$4*'SPESE TEC. AMBITO A'!J$7*'SPESE TEC. AMBITO A'!J$9*'SPESE TEC. AMBITO A'!J$11*M43*1</f>
        <v>0</v>
      </c>
      <c r="O43" s="29">
        <v>0.01</v>
      </c>
      <c r="P43" s="31"/>
      <c r="Q43" s="29">
        <v>0.01</v>
      </c>
      <c r="R43" s="31"/>
      <c r="S43" s="29">
        <v>0.01</v>
      </c>
      <c r="T43" s="32">
        <f>IF('SPESE TEC. AMBITO A'!$Q46="X",1,0)*'SPESE TEC. AMBITO A'!M$4*'SPESE TEC. AMBITO A'!M$7*'SPESE TEC. AMBITO A'!M$9*'SPESE TEC. AMBITO A'!M$11*S43*1</f>
        <v>0</v>
      </c>
      <c r="U43" s="31"/>
      <c r="V43" s="32">
        <f>IF('SPESE TEC. AMBITO A'!$T46="X",1,0)*'SPESE TEC. AMBITO A'!N$4*'SPESE TEC. AMBITO A'!N$7*'SPESE TEC. AMBITO A'!N$9*'SPESE TEC. AMBITO A'!N$11*U43*1</f>
        <v>0</v>
      </c>
      <c r="W43"/>
    </row>
    <row r="44" spans="1:23" s="1" customFormat="1" ht="15" customHeight="1">
      <c r="A44" s="359"/>
      <c r="B44" s="359"/>
      <c r="C44" s="196" t="s">
        <v>125</v>
      </c>
      <c r="D44" s="401" t="s">
        <v>126</v>
      </c>
      <c r="E44" s="401"/>
      <c r="F44" s="401"/>
      <c r="G44" s="29">
        <v>0.06</v>
      </c>
      <c r="H44" s="32">
        <f>IF('SPESE TEC. AMBITO A'!$E47="X",1,0)*'SPESE TEC. AMBITO A'!G$4*'SPESE TEC. AMBITO A'!G$7*'SPESE TEC. AMBITO A'!G$9*'SPESE TEC. AMBITO A'!G$11*G44</f>
        <v>0</v>
      </c>
      <c r="I44" s="29">
        <v>0.06</v>
      </c>
      <c r="J44" s="32">
        <f>IF('SPESE TEC. AMBITO A'!$H47="X",1,0)*'SPESE TEC. AMBITO A'!H$4*'SPESE TEC. AMBITO A'!H$7*'SPESE TEC. AMBITO A'!H$9*'SPESE TEC. AMBITO A'!H$11*I44</f>
        <v>0</v>
      </c>
      <c r="K44" s="29">
        <v>0.06</v>
      </c>
      <c r="L44" s="32">
        <f>IF('SPESE TEC. AMBITO A'!$K47="X",1,0)*'SPESE TEC. AMBITO A'!I$4*'SPESE TEC. AMBITO A'!I$7*'SPESE TEC. AMBITO A'!I$9*'SPESE TEC. AMBITO A'!I$11*K44*1</f>
        <v>0</v>
      </c>
      <c r="M44" s="29">
        <v>0.06</v>
      </c>
      <c r="N44" s="32">
        <f>IF('SPESE TEC. AMBITO A'!$N47="X",1,0)*'SPESE TEC. AMBITO A'!J$4*'SPESE TEC. AMBITO A'!J$7*'SPESE TEC. AMBITO A'!J$9*'SPESE TEC. AMBITO A'!J$11*M44*1</f>
        <v>0</v>
      </c>
      <c r="O44" s="29">
        <v>0.06</v>
      </c>
      <c r="P44" s="31"/>
      <c r="Q44" s="29">
        <v>0.06</v>
      </c>
      <c r="R44" s="31"/>
      <c r="S44" s="29">
        <v>0.06</v>
      </c>
      <c r="T44" s="32">
        <f>IF('SPESE TEC. AMBITO A'!$Q47="X",1,0)*'SPESE TEC. AMBITO A'!M$4*'SPESE TEC. AMBITO A'!M$7*'SPESE TEC. AMBITO A'!M$9*'SPESE TEC. AMBITO A'!M$11*S44*1</f>
        <v>0</v>
      </c>
      <c r="U44" s="31"/>
      <c r="V44" s="32">
        <f>IF('SPESE TEC. AMBITO A'!$T47="X",1,0)*'SPESE TEC. AMBITO A'!N$4*'SPESE TEC. AMBITO A'!N$7*'SPESE TEC. AMBITO A'!N$9*'SPESE TEC. AMBITO A'!N$11*U44*1</f>
        <v>0</v>
      </c>
      <c r="W44"/>
    </row>
    <row r="45" spans="1:23" s="1" customFormat="1" ht="15" customHeight="1">
      <c r="A45" s="359" t="s">
        <v>90</v>
      </c>
      <c r="B45" s="359" t="s">
        <v>128</v>
      </c>
      <c r="C45" s="196" t="s">
        <v>129</v>
      </c>
      <c r="D45" s="401" t="s">
        <v>130</v>
      </c>
      <c r="E45" s="401"/>
      <c r="F45" s="401"/>
      <c r="G45" s="29">
        <v>0.23</v>
      </c>
      <c r="H45" s="32">
        <f>IF('SPESE TEC. AMBITO A'!$E48="X",1,0)*'SPESE TEC. AMBITO A'!G$4*'SPESE TEC. AMBITO A'!G$7*'SPESE TEC. AMBITO A'!G$9*'SPESE TEC. AMBITO A'!G$11*G45</f>
        <v>3236.1624660011175</v>
      </c>
      <c r="I45" s="29">
        <v>0.18</v>
      </c>
      <c r="J45" s="32">
        <f>IF('SPESE TEC. AMBITO A'!$H48="X",1,0)*'SPESE TEC. AMBITO A'!H$4*'SPESE TEC. AMBITO A'!H$7*'SPESE TEC. AMBITO A'!H$9*'SPESE TEC. AMBITO A'!H$11*I45</f>
        <v>0</v>
      </c>
      <c r="K45" s="29">
        <v>0.16</v>
      </c>
      <c r="L45" s="32">
        <f>IF('SPESE TEC. AMBITO A'!$K48="X",1,0)*'SPESE TEC. AMBITO A'!I$4*'SPESE TEC. AMBITO A'!I$7*'SPESE TEC. AMBITO A'!I$9*'SPESE TEC. AMBITO A'!I$11*K45*1</f>
        <v>0</v>
      </c>
      <c r="M45" s="29">
        <v>0.22</v>
      </c>
      <c r="N45" s="32">
        <f>IF('SPESE TEC. AMBITO A'!$N48="X",1,0)*'SPESE TEC. AMBITO A'!J$4*'SPESE TEC. AMBITO A'!J$7*'SPESE TEC. AMBITO A'!J$9*'SPESE TEC. AMBITO A'!J$11*M45*1</f>
        <v>0</v>
      </c>
      <c r="O45" s="29">
        <v>0.18</v>
      </c>
      <c r="P45" s="31"/>
      <c r="Q45" s="29">
        <v>0.25</v>
      </c>
      <c r="R45" s="31"/>
      <c r="S45" s="29">
        <v>0.18</v>
      </c>
      <c r="T45" s="182">
        <f>IF('SPESE TEC. AMBITO A'!$Q48="X",1,0)*'SPESE TEC. AMBITO A'!M$4*'SPESE TEC. AMBITO A'!M$7*'SPESE TEC. AMBITO A'!M$9*'SPESE TEC. AMBITO A'!M$11*S45*1*IF('SPESE TEC. AMBITO A'!G$4&lt;5000,1/0.65,1)</f>
        <v>0</v>
      </c>
      <c r="U45" s="31"/>
      <c r="V45" s="32">
        <f>IF('SPESE TEC. AMBITO A'!$T48="X",1,0)*'SPESE TEC. AMBITO A'!N$4*'SPESE TEC. AMBITO A'!N$7*'SPESE TEC. AMBITO A'!N$9*'SPESE TEC. AMBITO A'!N$11*U45*1</f>
        <v>0</v>
      </c>
      <c r="W45"/>
    </row>
    <row r="46" spans="1:23" s="1" customFormat="1" ht="15" customHeight="1">
      <c r="A46" s="359"/>
      <c r="B46" s="359"/>
      <c r="C46" s="196" t="s">
        <v>131</v>
      </c>
      <c r="D46" s="401" t="s">
        <v>132</v>
      </c>
      <c r="E46" s="401"/>
      <c r="F46" s="401"/>
      <c r="G46" s="30">
        <v>0.04</v>
      </c>
      <c r="H46" s="32">
        <f>IF('SPESE TEC. AMBITO A'!$E49="X",1,0)*'SPESE TEC. AMBITO A'!G$4*'SPESE TEC. AMBITO A'!G$7*'SPESE TEC. AMBITO A'!G$9*'SPESE TEC. AMBITO A'!G$11*G46</f>
        <v>562.81086365236831</v>
      </c>
      <c r="I46" s="30">
        <v>0.04</v>
      </c>
      <c r="J46" s="32">
        <f>IF('SPESE TEC. AMBITO A'!$H49="X",1,0)*'SPESE TEC. AMBITO A'!H$4*'SPESE TEC. AMBITO A'!H$7*'SPESE TEC. AMBITO A'!H$9*'SPESE TEC. AMBITO A'!H$11*I46</f>
        <v>0</v>
      </c>
      <c r="K46" s="30">
        <v>0.04</v>
      </c>
      <c r="L46" s="32">
        <f>IF('SPESE TEC. AMBITO A'!$K49="X",1,0)*'SPESE TEC. AMBITO A'!I$4*'SPESE TEC. AMBITO A'!I$7*'SPESE TEC. AMBITO A'!I$9*'SPESE TEC. AMBITO A'!I$11*K46*1</f>
        <v>0</v>
      </c>
      <c r="M46" s="31"/>
      <c r="N46" s="32">
        <f>IF('SPESE TEC. AMBITO A'!$N49="X",1,0)*'SPESE TEC. AMBITO A'!J$4*'SPESE TEC. AMBITO A'!J$7*'SPESE TEC. AMBITO A'!J$9*'SPESE TEC. AMBITO A'!J$11*M46*1</f>
        <v>0</v>
      </c>
      <c r="O46" s="31"/>
      <c r="P46" s="31"/>
      <c r="Q46" s="31"/>
      <c r="R46" s="31"/>
      <c r="S46" s="31"/>
      <c r="T46" s="32">
        <f>IF('SPESE TEC. AMBITO A'!$Q49="X",1,0)*'SPESE TEC. AMBITO A'!M$4*'SPESE TEC. AMBITO A'!M$7*'SPESE TEC. AMBITO A'!M$9*'SPESE TEC. AMBITO A'!M$11*S46*1</f>
        <v>0</v>
      </c>
      <c r="U46" s="31"/>
      <c r="V46" s="32">
        <f>IF('SPESE TEC. AMBITO A'!$T49="X",1,0)*'SPESE TEC. AMBITO A'!N$4*'SPESE TEC. AMBITO A'!N$7*'SPESE TEC. AMBITO A'!N$9*'SPESE TEC. AMBITO A'!N$11*U46*1</f>
        <v>0</v>
      </c>
      <c r="W46"/>
    </row>
    <row r="47" spans="1:23" s="1" customFormat="1" ht="15" customHeight="1">
      <c r="A47" s="359"/>
      <c r="B47" s="359"/>
      <c r="C47" s="196" t="s">
        <v>133</v>
      </c>
      <c r="D47" s="401" t="s">
        <v>134</v>
      </c>
      <c r="E47" s="401"/>
      <c r="F47" s="401"/>
      <c r="G47" s="29">
        <v>0.01</v>
      </c>
      <c r="H47" s="32">
        <f>IF('SPESE TEC. AMBITO A'!$E50="X",1,0)*'SPESE TEC. AMBITO A'!G$4*'SPESE TEC. AMBITO A'!G$7*'SPESE TEC. AMBITO A'!G$9*'SPESE TEC. AMBITO A'!G$11*G47</f>
        <v>0</v>
      </c>
      <c r="I47" s="29">
        <v>0.01</v>
      </c>
      <c r="J47" s="32">
        <f>IF('SPESE TEC. AMBITO A'!$H50="X",1,0)*'SPESE TEC. AMBITO A'!H$4*'SPESE TEC. AMBITO A'!H$7*'SPESE TEC. AMBITO A'!H$9*'SPESE TEC. AMBITO A'!H$11*I47</f>
        <v>0</v>
      </c>
      <c r="K47" s="29">
        <v>0.01</v>
      </c>
      <c r="L47" s="32">
        <f>IF('SPESE TEC. AMBITO A'!$K50="X",1,0)*'SPESE TEC. AMBITO A'!I$4*'SPESE TEC. AMBITO A'!I$7*'SPESE TEC. AMBITO A'!I$9*'SPESE TEC. AMBITO A'!I$11*K47*1</f>
        <v>0</v>
      </c>
      <c r="M47" s="29">
        <v>0.01</v>
      </c>
      <c r="N47" s="32">
        <f>IF('SPESE TEC. AMBITO A'!$N50="X",1,0)*'SPESE TEC. AMBITO A'!J$4*'SPESE TEC. AMBITO A'!J$7*'SPESE TEC. AMBITO A'!J$9*'SPESE TEC. AMBITO A'!J$11*M47*1</f>
        <v>0</v>
      </c>
      <c r="O47" s="29">
        <v>0.01</v>
      </c>
      <c r="P47" s="31"/>
      <c r="Q47" s="29">
        <v>0.01</v>
      </c>
      <c r="R47" s="31"/>
      <c r="S47" s="29">
        <v>0.01</v>
      </c>
      <c r="T47" s="32">
        <f>IF('SPESE TEC. AMBITO A'!$Q50="X",1,0)*'SPESE TEC. AMBITO A'!M$4*'SPESE TEC. AMBITO A'!M$7*'SPESE TEC. AMBITO A'!M$9*'SPESE TEC. AMBITO A'!M$11*S47*1</f>
        <v>0</v>
      </c>
      <c r="U47" s="31"/>
      <c r="V47" s="32">
        <f>IF('SPESE TEC. AMBITO A'!$T50="X",1,0)*'SPESE TEC. AMBITO A'!N$4*'SPESE TEC. AMBITO A'!N$7*'SPESE TEC. AMBITO A'!N$9*'SPESE TEC. AMBITO A'!N$11*U47*1</f>
        <v>0</v>
      </c>
      <c r="W47"/>
    </row>
    <row r="48" spans="1:23" s="1" customFormat="1" ht="15" customHeight="1">
      <c r="A48" s="359"/>
      <c r="B48" s="359"/>
      <c r="C48" s="196" t="s">
        <v>135</v>
      </c>
      <c r="D48" s="401" t="s">
        <v>136</v>
      </c>
      <c r="E48" s="401"/>
      <c r="F48" s="401"/>
      <c r="G48" s="30">
        <v>0.04</v>
      </c>
      <c r="H48" s="32">
        <f>IF('SPESE TEC. AMBITO A'!$E51="X",1,0)*'SPESE TEC. AMBITO A'!G$4*'SPESE TEC. AMBITO A'!G$7*'SPESE TEC. AMBITO A'!G$9*'SPESE TEC. AMBITO A'!G$11*G48</f>
        <v>0</v>
      </c>
      <c r="I48" s="30">
        <v>0.04</v>
      </c>
      <c r="J48" s="32">
        <f>IF('SPESE TEC. AMBITO A'!$H51="X",1,0)*'SPESE TEC. AMBITO A'!H$4*'SPESE TEC. AMBITO A'!H$7*'SPESE TEC. AMBITO A'!H$9*'SPESE TEC. AMBITO A'!H$11*I48</f>
        <v>0</v>
      </c>
      <c r="K48" s="30">
        <v>0.04</v>
      </c>
      <c r="L48" s="32">
        <f>IF('SPESE TEC. AMBITO A'!$K51="X",1,0)*'SPESE TEC. AMBITO A'!I$4*'SPESE TEC. AMBITO A'!I$7*'SPESE TEC. AMBITO A'!I$9*'SPESE TEC. AMBITO A'!I$11*K48*1</f>
        <v>0</v>
      </c>
      <c r="M48" s="30">
        <v>0.04</v>
      </c>
      <c r="N48" s="32">
        <f>IF('SPESE TEC. AMBITO A'!$N51="X",1,0)*'SPESE TEC. AMBITO A'!J$4*'SPESE TEC. AMBITO A'!J$7*'SPESE TEC. AMBITO A'!J$9*'SPESE TEC. AMBITO A'!J$11*M48*1</f>
        <v>0</v>
      </c>
      <c r="O48" s="30">
        <v>0.04</v>
      </c>
      <c r="P48" s="31"/>
      <c r="Q48" s="31"/>
      <c r="R48" s="31"/>
      <c r="S48" s="30">
        <v>0.04</v>
      </c>
      <c r="T48" s="32">
        <f>IF('SPESE TEC. AMBITO A'!$Q51="X",1,0)*'SPESE TEC. AMBITO A'!M$4*'SPESE TEC. AMBITO A'!M$7*'SPESE TEC. AMBITO A'!M$9*'SPESE TEC. AMBITO A'!M$11*S48*1</f>
        <v>0</v>
      </c>
      <c r="U48" s="31"/>
      <c r="V48" s="32">
        <f>IF('SPESE TEC. AMBITO A'!$T51="X",1,0)*'SPESE TEC. AMBITO A'!N$4*'SPESE TEC. AMBITO A'!N$7*'SPESE TEC. AMBITO A'!N$9*'SPESE TEC. AMBITO A'!N$11*U48*1</f>
        <v>0</v>
      </c>
      <c r="W48"/>
    </row>
    <row r="49" spans="1:23" s="1" customFormat="1" ht="15" customHeight="1">
      <c r="A49" s="359"/>
      <c r="B49" s="359"/>
      <c r="C49" s="196" t="s">
        <v>137</v>
      </c>
      <c r="D49" s="401" t="s">
        <v>138</v>
      </c>
      <c r="E49" s="401"/>
      <c r="F49" s="401"/>
      <c r="G49" s="29">
        <v>7.0000000000000007E-2</v>
      </c>
      <c r="H49" s="32">
        <f>IF('SPESE TEC. AMBITO A'!$E52="X",1,0)*'SPESE TEC. AMBITO A'!G$4*'SPESE TEC. AMBITO A'!G$7*'SPESE TEC. AMBITO A'!G$9*'SPESE TEC. AMBITO A'!G$11*G49</f>
        <v>0</v>
      </c>
      <c r="I49" s="29">
        <v>0.04</v>
      </c>
      <c r="J49" s="32">
        <f>IF('SPESE TEC. AMBITO A'!$H52="X",1,0)*'SPESE TEC. AMBITO A'!H$4*'SPESE TEC. AMBITO A'!H$7*'SPESE TEC. AMBITO A'!H$9*'SPESE TEC. AMBITO A'!H$11*I49</f>
        <v>0</v>
      </c>
      <c r="K49" s="29">
        <v>7.0000000000000007E-2</v>
      </c>
      <c r="L49" s="32">
        <f>IF('SPESE TEC. AMBITO A'!$K52="X",1,0)*'SPESE TEC. AMBITO A'!I$4*'SPESE TEC. AMBITO A'!I$7*'SPESE TEC. AMBITO A'!I$9*'SPESE TEC. AMBITO A'!I$11*K49*1</f>
        <v>0</v>
      </c>
      <c r="M49" s="29">
        <v>0.06</v>
      </c>
      <c r="N49" s="32">
        <f>IF('SPESE TEC. AMBITO A'!$N52="X",1,0)*'SPESE TEC. AMBITO A'!J$4*'SPESE TEC. AMBITO A'!J$7*'SPESE TEC. AMBITO A'!J$9*'SPESE TEC. AMBITO A'!J$11*M49*1</f>
        <v>0</v>
      </c>
      <c r="O49" s="29">
        <v>0.05</v>
      </c>
      <c r="P49" s="31"/>
      <c r="Q49" s="29">
        <v>0.05</v>
      </c>
      <c r="R49" s="31"/>
      <c r="S49" s="29">
        <v>0.05</v>
      </c>
      <c r="T49" s="32">
        <f>IF('SPESE TEC. AMBITO A'!$Q52="X",1,0)*'SPESE TEC. AMBITO A'!M$4*'SPESE TEC. AMBITO A'!M$7*'SPESE TEC. AMBITO A'!M$9*'SPESE TEC. AMBITO A'!M$11*S49*1</f>
        <v>0</v>
      </c>
      <c r="U49" s="31"/>
      <c r="V49" s="32">
        <f>IF('SPESE TEC. AMBITO A'!$T52="X",1,0)*'SPESE TEC. AMBITO A'!N$4*'SPESE TEC. AMBITO A'!N$7*'SPESE TEC. AMBITO A'!N$9*'SPESE TEC. AMBITO A'!N$11*U49*1</f>
        <v>0</v>
      </c>
      <c r="W49"/>
    </row>
    <row r="50" spans="1:23" s="1" customFormat="1" ht="15" customHeight="1">
      <c r="A50" s="359"/>
      <c r="B50" s="359"/>
      <c r="C50" s="196" t="s">
        <v>139</v>
      </c>
      <c r="D50" s="401" t="s">
        <v>113</v>
      </c>
      <c r="E50" s="401"/>
      <c r="F50" s="401"/>
      <c r="G50" s="29">
        <v>0.03</v>
      </c>
      <c r="H50" s="32">
        <f>IF('SPESE TEC. AMBITO A'!$E53="X",1,0)*'SPESE TEC. AMBITO A'!G$4*'SPESE TEC. AMBITO A'!G$7*'SPESE TEC. AMBITO A'!G$9*'SPESE TEC. AMBITO A'!G$11*G50</f>
        <v>0</v>
      </c>
      <c r="I50" s="29">
        <v>0.03</v>
      </c>
      <c r="J50" s="32">
        <f>IF('SPESE TEC. AMBITO A'!$H53="X",1,0)*'SPESE TEC. AMBITO A'!H$4*'SPESE TEC. AMBITO A'!H$7*'SPESE TEC. AMBITO A'!H$9*'SPESE TEC. AMBITO A'!H$11*I50</f>
        <v>0</v>
      </c>
      <c r="K50" s="29">
        <v>0.01</v>
      </c>
      <c r="L50" s="32">
        <f>IF('SPESE TEC. AMBITO A'!$K53="X",1,0)*'SPESE TEC. AMBITO A'!I$4*'SPESE TEC. AMBITO A'!I$7*'SPESE TEC. AMBITO A'!I$9*'SPESE TEC. AMBITO A'!I$11*K50*1</f>
        <v>0</v>
      </c>
      <c r="M50" s="29">
        <v>0.03</v>
      </c>
      <c r="N50" s="32">
        <f>IF('SPESE TEC. AMBITO A'!$N53="X",1,0)*'SPESE TEC. AMBITO A'!J$4*'SPESE TEC. AMBITO A'!J$7*'SPESE TEC. AMBITO A'!J$9*'SPESE TEC. AMBITO A'!J$11*M50*1</f>
        <v>0</v>
      </c>
      <c r="O50" s="29">
        <v>0.01</v>
      </c>
      <c r="P50" s="31"/>
      <c r="Q50" s="31"/>
      <c r="R50" s="31"/>
      <c r="S50" s="29">
        <v>0.03</v>
      </c>
      <c r="T50" s="32">
        <f>IF('SPESE TEC. AMBITO A'!$Q53="X",1,0)*'SPESE TEC. AMBITO A'!M$4*'SPESE TEC. AMBITO A'!M$7*'SPESE TEC. AMBITO A'!M$9*'SPESE TEC. AMBITO A'!M$11*S50*1</f>
        <v>0</v>
      </c>
      <c r="U50" s="31"/>
      <c r="V50" s="32">
        <f>IF('SPESE TEC. AMBITO A'!$T53="X",1,0)*'SPESE TEC. AMBITO A'!N$4*'SPESE TEC. AMBITO A'!N$7*'SPESE TEC. AMBITO A'!N$9*'SPESE TEC. AMBITO A'!N$11*U50*1</f>
        <v>0</v>
      </c>
      <c r="W50"/>
    </row>
    <row r="51" spans="1:23" s="1" customFormat="1" ht="15" customHeight="1">
      <c r="A51" s="359"/>
      <c r="B51" s="359"/>
      <c r="C51" s="196" t="s">
        <v>140</v>
      </c>
      <c r="D51" s="401" t="s">
        <v>141</v>
      </c>
      <c r="E51" s="401"/>
      <c r="F51" s="401"/>
      <c r="G51" s="29">
        <v>0.02</v>
      </c>
      <c r="H51" s="32">
        <f>IF('SPESE TEC. AMBITO A'!$E54="X",1,0)*'SPESE TEC. AMBITO A'!G$4*'SPESE TEC. AMBITO A'!G$7*'SPESE TEC. AMBITO A'!G$9*'SPESE TEC. AMBITO A'!G$11*G51</f>
        <v>281.40543182618416</v>
      </c>
      <c r="I51" s="29">
        <v>0.02</v>
      </c>
      <c r="J51" s="32">
        <f>IF('SPESE TEC. AMBITO A'!$H54="X",1,0)*'SPESE TEC. AMBITO A'!H$4*'SPESE TEC. AMBITO A'!H$7*'SPESE TEC. AMBITO A'!H$9*'SPESE TEC. AMBITO A'!H$11*I51</f>
        <v>0</v>
      </c>
      <c r="K51" s="29">
        <v>0.02</v>
      </c>
      <c r="L51" s="32">
        <f>IF('SPESE TEC. AMBITO A'!$K54="X",1,0)*'SPESE TEC. AMBITO A'!I$4*'SPESE TEC. AMBITO A'!I$7*'SPESE TEC. AMBITO A'!I$9*'SPESE TEC. AMBITO A'!I$11*K51*1</f>
        <v>0</v>
      </c>
      <c r="M51" s="29">
        <v>0.02</v>
      </c>
      <c r="N51" s="32">
        <f>IF('SPESE TEC. AMBITO A'!$N54="X",1,0)*'SPESE TEC. AMBITO A'!J$4*'SPESE TEC. AMBITO A'!J$7*'SPESE TEC. AMBITO A'!J$9*'SPESE TEC. AMBITO A'!J$11*M51*1</f>
        <v>0</v>
      </c>
      <c r="O51" s="29">
        <v>0.02</v>
      </c>
      <c r="P51" s="31"/>
      <c r="Q51" s="29">
        <v>0.02</v>
      </c>
      <c r="R51" s="31"/>
      <c r="S51" s="29">
        <v>0.02</v>
      </c>
      <c r="T51" s="182">
        <f>IF('SPESE TEC. AMBITO A'!$Q54="X",1,0)*'SPESE TEC. AMBITO A'!M$4*'SPESE TEC. AMBITO A'!M$7*'SPESE TEC. AMBITO A'!M$9*'SPESE TEC. AMBITO A'!M$11*S51*1*IF('SPESE TEC. AMBITO A'!G$4&lt;5000,1/0.65,1)</f>
        <v>0</v>
      </c>
      <c r="U51" s="31"/>
      <c r="V51" s="32">
        <f>IF('SPESE TEC. AMBITO A'!$T54="X",1,0)*'SPESE TEC. AMBITO A'!N$4*'SPESE TEC. AMBITO A'!N$7*'SPESE TEC. AMBITO A'!N$9*'SPESE TEC. AMBITO A'!N$11*U51*1</f>
        <v>0</v>
      </c>
      <c r="W51"/>
    </row>
    <row r="52" spans="1:23" s="1" customFormat="1" ht="15" customHeight="1">
      <c r="A52" s="359"/>
      <c r="B52" s="359"/>
      <c r="C52" s="196" t="s">
        <v>142</v>
      </c>
      <c r="D52" s="401" t="s">
        <v>248</v>
      </c>
      <c r="E52" s="401"/>
      <c r="F52" s="401"/>
      <c r="G52" s="29">
        <v>7.0000000000000007E-2</v>
      </c>
      <c r="H52" s="32">
        <f>IF('SPESE TEC. AMBITO A'!$E55="X",1,0)*'SPESE TEC. AMBITO A'!G$4*'SPESE TEC. AMBITO A'!G$7*'SPESE TEC. AMBITO A'!G$9*'SPESE TEC. AMBITO A'!G$11*G52</f>
        <v>0</v>
      </c>
      <c r="I52" s="29">
        <v>7.0000000000000007E-2</v>
      </c>
      <c r="J52" s="32">
        <f>IF('SPESE TEC. AMBITO A'!$H55="X",1,0)*'SPESE TEC. AMBITO A'!H$4*'SPESE TEC. AMBITO A'!H$7*'SPESE TEC. AMBITO A'!H$9*'SPESE TEC. AMBITO A'!H$11*I52</f>
        <v>0</v>
      </c>
      <c r="K52" s="29">
        <v>0.08</v>
      </c>
      <c r="L52" s="32">
        <f>IF('SPESE TEC. AMBITO A'!$K55="X",1,0)*'SPESE TEC. AMBITO A'!I$4*'SPESE TEC. AMBITO A'!I$7*'SPESE TEC. AMBITO A'!I$9*'SPESE TEC. AMBITO A'!I$11*K52*1</f>
        <v>0</v>
      </c>
      <c r="M52" s="29">
        <v>7.0000000000000007E-2</v>
      </c>
      <c r="N52" s="32">
        <f>IF('SPESE TEC. AMBITO A'!$N55="X",1,0)*'SPESE TEC. AMBITO A'!J$4*'SPESE TEC. AMBITO A'!J$7*'SPESE TEC. AMBITO A'!J$9*'SPESE TEC. AMBITO A'!J$11*M52*1</f>
        <v>0</v>
      </c>
      <c r="O52" s="29">
        <v>7.0000000000000007E-2</v>
      </c>
      <c r="P52" s="31"/>
      <c r="Q52" s="29">
        <v>7.0000000000000007E-2</v>
      </c>
      <c r="R52" s="31"/>
      <c r="S52" s="29">
        <v>7.0000000000000007E-2</v>
      </c>
      <c r="T52" s="32">
        <f>IF('SPESE TEC. AMBITO A'!$Q55="X",1,0)*'SPESE TEC. AMBITO A'!M$4*'SPESE TEC. AMBITO A'!M$7*'SPESE TEC. AMBITO A'!M$9*'SPESE TEC. AMBITO A'!M$11*S52*1</f>
        <v>0</v>
      </c>
      <c r="U52" s="31"/>
      <c r="V52" s="32">
        <f>IF('SPESE TEC. AMBITO A'!$T55="X",1,0)*'SPESE TEC. AMBITO A'!N$4*'SPESE TEC. AMBITO A'!N$7*'SPESE TEC. AMBITO A'!N$9*'SPESE TEC. AMBITO A'!N$11*U52*1</f>
        <v>0</v>
      </c>
      <c r="W52"/>
    </row>
    <row r="53" spans="1:23" s="1" customFormat="1" ht="15" customHeight="1">
      <c r="A53" s="359"/>
      <c r="B53" s="359"/>
      <c r="C53" s="196" t="s">
        <v>143</v>
      </c>
      <c r="D53" s="401" t="s">
        <v>101</v>
      </c>
      <c r="E53" s="401"/>
      <c r="F53" s="401"/>
      <c r="G53" s="29">
        <v>0.06</v>
      </c>
      <c r="H53" s="32">
        <f>IF('SPESE TEC. AMBITO A'!$E56="X",1,0)*'SPESE TEC. AMBITO A'!G$4*'SPESE TEC. AMBITO A'!G$7*'SPESE TEC. AMBITO A'!G$9*'SPESE TEC. AMBITO A'!G$11*G53</f>
        <v>0</v>
      </c>
      <c r="I53" s="29">
        <v>0.06</v>
      </c>
      <c r="J53" s="32">
        <f>IF('SPESE TEC. AMBITO A'!$H56="X",1,0)*'SPESE TEC. AMBITO A'!H$4*'SPESE TEC. AMBITO A'!H$7*'SPESE TEC. AMBITO A'!H$9*'SPESE TEC. AMBITO A'!H$11*I53</f>
        <v>0</v>
      </c>
      <c r="K53" s="29">
        <v>0.06</v>
      </c>
      <c r="L53" s="32">
        <f>IF('SPESE TEC. AMBITO A'!$K56="X",1,0)*'SPESE TEC. AMBITO A'!I$4*'SPESE TEC. AMBITO A'!I$7*'SPESE TEC. AMBITO A'!I$9*'SPESE TEC. AMBITO A'!I$11*K53*1</f>
        <v>0</v>
      </c>
      <c r="M53" s="29">
        <v>0.06</v>
      </c>
      <c r="N53" s="32">
        <f>IF('SPESE TEC. AMBITO A'!$N56="X",1,0)*'SPESE TEC. AMBITO A'!J$4*'SPESE TEC. AMBITO A'!J$7*'SPESE TEC. AMBITO A'!J$9*'SPESE TEC. AMBITO A'!J$11*M53*1</f>
        <v>0</v>
      </c>
      <c r="O53" s="29">
        <v>0.06</v>
      </c>
      <c r="P53" s="31"/>
      <c r="Q53" s="31"/>
      <c r="R53" s="31"/>
      <c r="S53" s="29">
        <v>0.06</v>
      </c>
      <c r="T53" s="32">
        <f>IF('SPESE TEC. AMBITO A'!$Q56="X",1,0)*'SPESE TEC. AMBITO A'!M$4*'SPESE TEC. AMBITO A'!M$7*'SPESE TEC. AMBITO A'!M$9*'SPESE TEC. AMBITO A'!M$11*S53*1</f>
        <v>0</v>
      </c>
      <c r="U53" s="31"/>
      <c r="V53" s="32">
        <f>IF('SPESE TEC. AMBITO A'!$T56="X",1,0)*'SPESE TEC. AMBITO A'!N$4*'SPESE TEC. AMBITO A'!N$7*'SPESE TEC. AMBITO A'!N$9*'SPESE TEC. AMBITO A'!N$11*U53*1</f>
        <v>0</v>
      </c>
      <c r="W53"/>
    </row>
    <row r="54" spans="1:23" s="1" customFormat="1" ht="15" customHeight="1">
      <c r="A54" s="359"/>
      <c r="B54" s="359"/>
      <c r="C54" s="196" t="s">
        <v>144</v>
      </c>
      <c r="D54" s="401" t="s">
        <v>103</v>
      </c>
      <c r="E54" s="401"/>
      <c r="F54" s="401"/>
      <c r="G54" s="29">
        <v>0.03</v>
      </c>
      <c r="H54" s="32">
        <f>IF('SPESE TEC. AMBITO A'!$E57="X",1,0)*'SPESE TEC. AMBITO A'!G$4*'SPESE TEC. AMBITO A'!G$7*'SPESE TEC. AMBITO A'!G$9*'SPESE TEC. AMBITO A'!G$11*G54</f>
        <v>422.10814773927621</v>
      </c>
      <c r="I54" s="29">
        <v>0.03</v>
      </c>
      <c r="J54" s="32">
        <f>IF('SPESE TEC. AMBITO A'!$H57="X",1,0)*'SPESE TEC. AMBITO A'!H$4*'SPESE TEC. AMBITO A'!H$7*'SPESE TEC. AMBITO A'!H$9*'SPESE TEC. AMBITO A'!H$11*I54</f>
        <v>0</v>
      </c>
      <c r="K54" s="29">
        <v>0.03</v>
      </c>
      <c r="L54" s="32">
        <f>IF('SPESE TEC. AMBITO A'!$K57="X",1,0)*'SPESE TEC. AMBITO A'!I$4*'SPESE TEC. AMBITO A'!I$7*'SPESE TEC. AMBITO A'!I$9*'SPESE TEC. AMBITO A'!I$11*K54*1</f>
        <v>0</v>
      </c>
      <c r="M54" s="29">
        <v>0.03</v>
      </c>
      <c r="N54" s="32">
        <f>IF('SPESE TEC. AMBITO A'!$N57="X",1,0)*'SPESE TEC. AMBITO A'!J$4*'SPESE TEC. AMBITO A'!J$7*'SPESE TEC. AMBITO A'!J$9*'SPESE TEC. AMBITO A'!J$11*M54*1</f>
        <v>0</v>
      </c>
      <c r="O54" s="29">
        <v>0.03</v>
      </c>
      <c r="P54" s="31"/>
      <c r="Q54" s="31"/>
      <c r="R54" s="31"/>
      <c r="S54" s="29">
        <v>0.03</v>
      </c>
      <c r="T54" s="32">
        <f>IF('SPESE TEC. AMBITO A'!$Q57="X",1,0)*'SPESE TEC. AMBITO A'!M$4*'SPESE TEC. AMBITO A'!M$7*'SPESE TEC. AMBITO A'!M$9*'SPESE TEC. AMBITO A'!M$11*S54*1</f>
        <v>0</v>
      </c>
      <c r="U54" s="31"/>
      <c r="V54" s="32">
        <f>IF('SPESE TEC. AMBITO A'!$T57="X",1,0)*'SPESE TEC. AMBITO A'!N$4*'SPESE TEC. AMBITO A'!N$7*'SPESE TEC. AMBITO A'!N$9*'SPESE TEC. AMBITO A'!N$11*U54*1</f>
        <v>0</v>
      </c>
      <c r="W54"/>
    </row>
    <row r="55" spans="1:23" s="1" customFormat="1" ht="15" customHeight="1">
      <c r="A55" s="359"/>
      <c r="B55" s="359"/>
      <c r="C55" s="196" t="s">
        <v>145</v>
      </c>
      <c r="D55" s="401" t="s">
        <v>105</v>
      </c>
      <c r="E55" s="401"/>
      <c r="F55" s="401"/>
      <c r="G55" s="29">
        <v>0.03</v>
      </c>
      <c r="H55" s="32">
        <f>IF('SPESE TEC. AMBITO A'!$E58="X",1,0)*'SPESE TEC. AMBITO A'!G$4*'SPESE TEC. AMBITO A'!G$7*'SPESE TEC. AMBITO A'!G$9*'SPESE TEC. AMBITO A'!G$11*G55</f>
        <v>422.10814773927621</v>
      </c>
      <c r="I55" s="29">
        <v>0.03</v>
      </c>
      <c r="J55" s="32">
        <f>IF('SPESE TEC. AMBITO A'!$H58="X",1,0)*'SPESE TEC. AMBITO A'!H$4*'SPESE TEC. AMBITO A'!H$7*'SPESE TEC. AMBITO A'!H$9*'SPESE TEC. AMBITO A'!H$11*I55</f>
        <v>0</v>
      </c>
      <c r="K55" s="29">
        <v>0.03</v>
      </c>
      <c r="L55" s="32">
        <f>IF('SPESE TEC. AMBITO A'!$K58="X",1,0)*'SPESE TEC. AMBITO A'!I$4*'SPESE TEC. AMBITO A'!I$7*'SPESE TEC. AMBITO A'!I$9*'SPESE TEC. AMBITO A'!I$11*K55*1</f>
        <v>0</v>
      </c>
      <c r="M55" s="29">
        <v>0.03</v>
      </c>
      <c r="N55" s="32">
        <f>IF('SPESE TEC. AMBITO A'!$N58="X",1,0)*'SPESE TEC. AMBITO A'!J$4*'SPESE TEC. AMBITO A'!J$7*'SPESE TEC. AMBITO A'!J$9*'SPESE TEC. AMBITO A'!J$11*M55*1</f>
        <v>0</v>
      </c>
      <c r="O55" s="29">
        <v>0.03</v>
      </c>
      <c r="P55" s="31"/>
      <c r="Q55" s="31"/>
      <c r="R55" s="31"/>
      <c r="S55" s="29">
        <v>0.03</v>
      </c>
      <c r="T55" s="32">
        <f>IF('SPESE TEC. AMBITO A'!$Q58="X",1,0)*'SPESE TEC. AMBITO A'!M$4*'SPESE TEC. AMBITO A'!M$7*'SPESE TEC. AMBITO A'!M$9*'SPESE TEC. AMBITO A'!M$11*S55*1</f>
        <v>0</v>
      </c>
      <c r="U55" s="31"/>
      <c r="V55" s="32">
        <f>IF('SPESE TEC. AMBITO A'!$T58="X",1,0)*'SPESE TEC. AMBITO A'!N$4*'SPESE TEC. AMBITO A'!N$7*'SPESE TEC. AMBITO A'!N$9*'SPESE TEC. AMBITO A'!N$11*U55*1</f>
        <v>0</v>
      </c>
      <c r="W55"/>
    </row>
    <row r="56" spans="1:23" s="1" customFormat="1" ht="15" customHeight="1">
      <c r="A56" s="359"/>
      <c r="B56" s="359"/>
      <c r="C56" s="196" t="s">
        <v>146</v>
      </c>
      <c r="D56" s="401" t="s">
        <v>107</v>
      </c>
      <c r="E56" s="401"/>
      <c r="F56" s="401"/>
      <c r="G56" s="29">
        <v>0.03</v>
      </c>
      <c r="H56" s="32">
        <f>IF('SPESE TEC. AMBITO A'!$E59="X",1,0)*'SPESE TEC. AMBITO A'!G$4*'SPESE TEC. AMBITO A'!G$7*'SPESE TEC. AMBITO A'!G$9*'SPESE TEC. AMBITO A'!G$11*G56</f>
        <v>422.10814773927621</v>
      </c>
      <c r="I56" s="29">
        <v>0.03</v>
      </c>
      <c r="J56" s="32">
        <f>IF('SPESE TEC. AMBITO A'!$H59="X",1,0)*'SPESE TEC. AMBITO A'!H$4*'SPESE TEC. AMBITO A'!H$7*'SPESE TEC. AMBITO A'!H$9*'SPESE TEC. AMBITO A'!H$11*I56</f>
        <v>0</v>
      </c>
      <c r="K56" s="29">
        <v>0.03</v>
      </c>
      <c r="L56" s="32">
        <f>IF('SPESE TEC. AMBITO A'!$K59="X",1,0)*'SPESE TEC. AMBITO A'!I$4*'SPESE TEC. AMBITO A'!I$7*'SPESE TEC. AMBITO A'!I$9*'SPESE TEC. AMBITO A'!I$11*K56*1</f>
        <v>0</v>
      </c>
      <c r="M56" s="29">
        <v>0.03</v>
      </c>
      <c r="N56" s="32">
        <f>IF('SPESE TEC. AMBITO A'!$N59="X",1,0)*'SPESE TEC. AMBITO A'!J$4*'SPESE TEC. AMBITO A'!J$7*'SPESE TEC. AMBITO A'!J$9*'SPESE TEC. AMBITO A'!J$11*M56*1</f>
        <v>0</v>
      </c>
      <c r="O56" s="29">
        <v>0.03</v>
      </c>
      <c r="P56" s="31"/>
      <c r="Q56" s="31"/>
      <c r="R56" s="31"/>
      <c r="S56" s="29">
        <v>0.03</v>
      </c>
      <c r="T56" s="32">
        <f>IF('SPESE TEC. AMBITO A'!$Q59="X",1,0)*'SPESE TEC. AMBITO A'!M$4*'SPESE TEC. AMBITO A'!M$7*'SPESE TEC. AMBITO A'!M$9*'SPESE TEC. AMBITO A'!M$11*S56*1</f>
        <v>0</v>
      </c>
      <c r="U56" s="31"/>
      <c r="V56" s="32">
        <f>IF('SPESE TEC. AMBITO A'!$T59="X",1,0)*'SPESE TEC. AMBITO A'!N$4*'SPESE TEC. AMBITO A'!N$7*'SPESE TEC. AMBITO A'!N$9*'SPESE TEC. AMBITO A'!N$11*U56*1</f>
        <v>0</v>
      </c>
      <c r="W56"/>
    </row>
    <row r="57" spans="1:23" s="1" customFormat="1" ht="15" customHeight="1">
      <c r="A57" s="359"/>
      <c r="B57" s="359"/>
      <c r="C57" s="196" t="s">
        <v>147</v>
      </c>
      <c r="D57" s="401" t="s">
        <v>249</v>
      </c>
      <c r="E57" s="196" t="s">
        <v>62</v>
      </c>
      <c r="F57" s="285">
        <v>250000</v>
      </c>
      <c r="G57" s="29">
        <v>6.4000000000000001E-2</v>
      </c>
      <c r="H57" s="32">
        <f>IF('SPESE TEC. AMBITO A'!G$4&gt;$F57,$F57*(0.03+10/POWER($F57,0.4))*'SPESE TEC. AMBITO A'!G$9*G57*IF('SPESE TEC. AMBITO A'!$E$60="X",1,0)*'SPESE TEC. AMBITO A'!G11,'SPESE TEC. AMBITO A'!G$4*'SPESE TEC. AMBITO A'!G$7*'SPESE TEC. AMBITO A'!G$9*G57)*'SPESE TEC. AMBITO A'!$G$11*IF('SPESE TEC. AMBITO A'!$E$60="X",1,0)</f>
        <v>153.95249727970932</v>
      </c>
      <c r="I57" s="33">
        <v>6.4000000000000001E-2</v>
      </c>
      <c r="J57" s="32">
        <f>IF('SPESE TEC. AMBITO A'!H$4&gt;$F57,$F57*(0.03+10/POWER($F57,0.4))*'SPESE TEC. AMBITO A'!H$9*'SPESE TEC. AMBITO A'!H$11*I57*IF('SPESE TEC. AMBITO A'!$H$60="X",1,0),'SPESE TEC. AMBITO A'!H$4*'SPESE TEC. AMBITO A'!H$7*'SPESE TEC. AMBITO A'!H$9*'SPESE TEC. AMBITO A'!H$11*I57)*IF('SPESE TEC. AMBITO A'!$H$60="X",1,0)</f>
        <v>0</v>
      </c>
      <c r="K57" s="29">
        <v>6.4000000000000001E-2</v>
      </c>
      <c r="L57" s="32">
        <f>IF('SPESE TEC. AMBITO A'!I$4&gt;$F57,$F57*(0.03+10/POWER($F57,0.4))*'SPESE TEC. AMBITO A'!I$9*'SPESE TEC. AMBITO A'!I$11*K57*IF('SPESE TEC. AMBITO A'!$K$60="X",1,0),'SPESE TEC. AMBITO A'!I$4*'SPESE TEC. AMBITO A'!I$7*'SPESE TEC. AMBITO A'!I$9*'SPESE TEC. AMBITO A'!I$11*K57*1)*IF('SPESE TEC. AMBITO A'!$K$60="X",1,0)</f>
        <v>0</v>
      </c>
      <c r="M57" s="29">
        <v>0.14499999999999999</v>
      </c>
      <c r="N57" s="32">
        <f>IF('SPESE TEC. AMBITO A'!J$4&gt;$F57,$F57*(0.03+10/POWER($F57,0.4))*'SPESE TEC. AMBITO A'!J$9*'SPESE TEC. AMBITO A'!J$11*M57*IF('SPESE TEC. AMBITO A'!$N$60="X",1,0),'SPESE TEC. AMBITO A'!J$4*'SPESE TEC. AMBITO A'!J$7*'SPESE TEC. AMBITO A'!J$9*'SPESE TEC. AMBITO A'!J$11*M57*1)*IF('SPESE TEC. AMBITO A'!$N$60="X",1,0)</f>
        <v>0</v>
      </c>
      <c r="O57" s="29">
        <v>0.13300000000000001</v>
      </c>
      <c r="P57" s="31"/>
      <c r="Q57" s="31"/>
      <c r="R57" s="31"/>
      <c r="S57" s="29">
        <v>0.13300000000000001</v>
      </c>
      <c r="T57" s="32">
        <f>IF('SPESE TEC. AMBITO A'!M$4&gt;$F57,$F57*(0.03+10/POWER($F57,0.4))*'SPESE TEC. AMBITO A'!M$9*S57*IF('SPESE TEC. AMBITO A'!$Q$60="X",1,0),'SPESE TEC. AMBITO A'!M$4*'SPESE TEC. AMBITO A'!M$7*'SPESE TEC. AMBITO A'!M$9*S57*1)*IF('SPESE TEC. AMBITO A'!$Q$60="X",1,0)</f>
        <v>0</v>
      </c>
      <c r="U57" s="31"/>
      <c r="V57" s="32">
        <f>IF('SPESE TEC. AMBITO A'!N$4&gt;$F57,$F57*(0.03+10/POWER($F57,0.4))*'SPESE TEC. AMBITO A'!N$9*U57*IF('SPESE TEC. AMBITO A'!$T$60="X",1,0),'SPESE TEC. AMBITO A'!N$4*'SPESE TEC. AMBITO A'!N$7*'SPESE TEC. AMBITO A'!N$9*U57*1)*IF('SPESE TEC. AMBITO A'!$T$60="X",1,0)</f>
        <v>0</v>
      </c>
      <c r="W57"/>
    </row>
    <row r="58" spans="1:23" s="1" customFormat="1" ht="22.5">
      <c r="A58" s="359"/>
      <c r="B58" s="359"/>
      <c r="C58" s="196" t="s">
        <v>147</v>
      </c>
      <c r="D58" s="401"/>
      <c r="E58" s="196" t="s">
        <v>84</v>
      </c>
      <c r="F58" s="285">
        <v>500000</v>
      </c>
      <c r="G58" s="29">
        <v>1.9E-2</v>
      </c>
      <c r="H58" s="32">
        <f>IF('SPESE TEC. AMBITO A'!G$4&gt;$F58,($F58-$F57)*(0.03+10/POWER(($F58-$F57),0.4))*'SPESE TEC. AMBITO A'!G$9*G58*IF('SPESE TEC. AMBITO A'!$E$60="X",1,0)*'SPESE TEC. AMBITO A'!$G$11,IF(('SPESE TEC. AMBITO A'!G$4-$F57)&gt;0,('SPESE TEC. AMBITO A'!G$4-$F57)*(0.03+10/POWER(('SPESE TEC. AMBITO A'!G$4-$F57),0.4))*'SPESE TEC. AMBITO A'!G$9*G58,0)*'SPESE TEC. AMBITO A'!$G$11*IF('SPESE TEC. AMBITO A'!$E$60="X",1,0))</f>
        <v>160.8510522442019</v>
      </c>
      <c r="I58" s="33">
        <v>1.9E-2</v>
      </c>
      <c r="J58" s="32">
        <f>IF('SPESE TEC. AMBITO A'!H$4&gt;$F58,($F58-$F57)*(0.03+10/POWER(($F58-$F57),0.4))*'SPESE TEC. AMBITO A'!H$9*'SPESE TEC. AMBITO A'!H$11*I58*IF('SPESE TEC. AMBITO A'!$H$60="X",1,0),IF(('SPESE TEC. AMBITO A'!H$4-$F57)&gt;0,('SPESE TEC. AMBITO A'!H$4-$F57)*(0.03+10/POWER(('SPESE TEC. AMBITO A'!H$4-$F57),0.4))*'SPESE TEC. AMBITO A'!H$9*'SPESE TEC. AMBITO A'!H$11*I58,0)*IF('SPESE TEC. AMBITO A'!$H$60="X",1,0))</f>
        <v>0</v>
      </c>
      <c r="K58" s="29">
        <v>1.9E-2</v>
      </c>
      <c r="L58" s="32">
        <f>IF('SPESE TEC. AMBITO A'!I$4&gt;$F58,($F58-$F57)*(0.03+10/POWER(($F58-$F57),0.4))*'SPESE TEC. AMBITO A'!I$9*'SPESE TEC. AMBITO A'!I$11*K58*IF('SPESE TEC. AMBITO A'!$K$60="X",1,0),IF(('SPESE TEC. AMBITO A'!I$4-$F57)&gt;0,('SPESE TEC. AMBITO A'!I$4-$F57)*(0.03+10/POWER(('SPESE TEC. AMBITO A'!I$4-$F57),0.4))*'SPESE TEC. AMBITO A'!I$9*'SPESE TEC. AMBITO A'!I$11*K58*1,0)*IF('SPESE TEC. AMBITO A'!$K$60="X",1,0))</f>
        <v>0</v>
      </c>
      <c r="M58" s="29">
        <v>0.114</v>
      </c>
      <c r="N58" s="32">
        <f>IF('SPESE TEC. AMBITO A'!J$4&gt;$F58,($F58-$F57)*(0.03+10/POWER(($F58-$F57),0.4))*'SPESE TEC. AMBITO A'!J$9*'SPESE TEC. AMBITO A'!J$11*M58*IF('SPESE TEC. AMBITO A'!$N$60="X",1,0),IF(('SPESE TEC. AMBITO A'!J$4-$F57)&gt;0,('SPESE TEC. AMBITO A'!J$4-$F57)*(0.03+10/POWER(('SPESE TEC. AMBITO A'!J$4-$F57),0.4))*'SPESE TEC. AMBITO A'!J$9*'SPESE TEC. AMBITO A'!J$11*M58*1,0)*IF('SPESE TEC. AMBITO A'!$N$60="X",1,0))</f>
        <v>0</v>
      </c>
      <c r="O58" s="29">
        <v>0.107</v>
      </c>
      <c r="P58" s="31"/>
      <c r="Q58" s="31"/>
      <c r="R58" s="31"/>
      <c r="S58" s="29">
        <v>0.107</v>
      </c>
      <c r="T58" s="32">
        <f>IF('SPESE TEC. AMBITO A'!M$4&gt;$F58,($F58-$F57)*(0.03+10/POWER(($F58-$F57),0.4))*'SPESE TEC. AMBITO A'!M$9*S58*IF('SPESE TEC. AMBITO A'!$Q$60="X",1,0),IF(('SPESE TEC. AMBITO A'!M$4-$F57)&gt;0,('SPESE TEC. AMBITO A'!M$4-$F57)*(0.03+10/POWER(('SPESE TEC. AMBITO A'!M$4-$F57),0.4))*'SPESE TEC. AMBITO A'!M$9*S58*1,0)*IF('SPESE TEC. AMBITO A'!$Q$60="X",1,0))</f>
        <v>0</v>
      </c>
      <c r="U58" s="31"/>
      <c r="V58" s="32">
        <f>IF('SPESE TEC. AMBITO A'!N$4&gt;$F58,($F58-$F57)*(0.03+10/POWER(($F58-$F57),0.4))*'SPESE TEC. AMBITO A'!N$9*U58*IF('SPESE TEC. AMBITO A'!$T$60="X",1,0),IF(('SPESE TEC. AMBITO A'!N$4-$F57)&gt;0,('SPESE TEC. AMBITO A'!N$4-$F57)*(0.03+10/POWER(('SPESE TEC. AMBITO A'!N$4-$F57),0.4))*'SPESE TEC. AMBITO A'!N$9*U58*1,0)*IF('SPESE TEC. AMBITO A'!$T$60="X",1,0))</f>
        <v>0</v>
      </c>
      <c r="W58"/>
    </row>
    <row r="59" spans="1:23" s="1" customFormat="1" ht="22.5">
      <c r="A59" s="359"/>
      <c r="B59" s="359"/>
      <c r="C59" s="196" t="s">
        <v>147</v>
      </c>
      <c r="D59" s="401"/>
      <c r="E59" s="196" t="s">
        <v>84</v>
      </c>
      <c r="F59" s="285">
        <v>1000000</v>
      </c>
      <c r="G59" s="29">
        <v>2.1000000000000001E-2</v>
      </c>
      <c r="H59" s="32">
        <f>IF('SPESE TEC. AMBITO A'!G$4&gt;$F59,($F59-$F58)*(0.03+10/POWER(($F59-$F58),0.4))*'SPESE TEC. AMBITO A'!G$9*G59*IF('SPESE TEC. AMBITO A'!$E$60="X",1,0)*'SPESE TEC. AMBITO A'!$G$11,IF(('SPESE TEC. AMBITO A'!G$4-$F58)&gt;0,('SPESE TEC. AMBITO A'!G$4-$F58)*(0.03+10/POWER(('SPESE TEC. AMBITO A'!G$4-$F58),0.4))*'SPESE TEC. AMBITO A'!G$9*G59,0)*'SPESE TEC. AMBITO A'!$G$11*IF('SPESE TEC. AMBITO A'!$E$60="X",1,0))</f>
        <v>0</v>
      </c>
      <c r="I59" s="33">
        <v>2.1000000000000001E-2</v>
      </c>
      <c r="J59" s="32">
        <f>IF('SPESE TEC. AMBITO A'!H$4&gt;$F59,($F59-$F58)*(0.03+10/POWER(($F59-$F58),0.4))*'SPESE TEC. AMBITO A'!H$9*'SPESE TEC. AMBITO A'!H$11*I59*IF('SPESE TEC. AMBITO A'!$H$60="X",1,0),IF(('SPESE TEC. AMBITO A'!H$4-$F58)&gt;0,('SPESE TEC. AMBITO A'!H$4-$F58)*(0.03+10/POWER(('SPESE TEC. AMBITO A'!H$4-$F58),0.4))*'SPESE TEC. AMBITO A'!H$9*'SPESE TEC. AMBITO A'!H$11*I59,0)*IF('SPESE TEC. AMBITO A'!$H$60="X",1,0))</f>
        <v>0</v>
      </c>
      <c r="K59" s="29">
        <v>2.1000000000000001E-2</v>
      </c>
      <c r="L59" s="32">
        <f>IF('SPESE TEC. AMBITO A'!I$4&gt;$F59,($F59-$F58)*(0.03+10/POWER(($F59-$F58),0.4))*'SPESE TEC. AMBITO A'!I$9*'SPESE TEC. AMBITO A'!I$11*K59*IF('SPESE TEC. AMBITO A'!$K$60="X",1,0),IF(('SPESE TEC. AMBITO A'!I$4-$F58)&gt;0,('SPESE TEC. AMBITO A'!I$4-$F58)*(0.03+10/POWER(('SPESE TEC. AMBITO A'!I$4-$F58),0.4))*'SPESE TEC. AMBITO A'!I$9*'SPESE TEC. AMBITO A'!I$11*K59*1,0)*IF('SPESE TEC. AMBITO A'!$K$60="X",1,0))</f>
        <v>0</v>
      </c>
      <c r="M59" s="29">
        <v>7.0000000000000007E-2</v>
      </c>
      <c r="N59" s="32">
        <f>IF('SPESE TEC. AMBITO A'!J$4&gt;$F59,($F59-$F58)*(0.03+10/POWER(($F59-$F58),0.4))*'SPESE TEC. AMBITO A'!J$9*'SPESE TEC. AMBITO A'!J$11*M59*IF('SPESE TEC. AMBITO A'!$N$60="X",1,0),IF(('SPESE TEC. AMBITO A'!J$4-$F58)&gt;0,('SPESE TEC. AMBITO A'!J$4-$F58)*(0.03+10/POWER(('SPESE TEC. AMBITO A'!J$4-$F58),0.4))*'SPESE TEC. AMBITO A'!J$9*'SPESE TEC. AMBITO A'!J$11*M59*1,0)*IF('SPESE TEC. AMBITO A'!$N$60="X",1,0))</f>
        <v>0</v>
      </c>
      <c r="O59" s="29">
        <v>9.6000000000000002E-2</v>
      </c>
      <c r="P59" s="31"/>
      <c r="Q59" s="31"/>
      <c r="R59" s="31"/>
      <c r="S59" s="29">
        <v>9.6000000000000002E-2</v>
      </c>
      <c r="T59" s="32">
        <f>IF('SPESE TEC. AMBITO A'!M$4&gt;$F59,($F59-$F58)*(0.03+10/POWER(($F59-$F58),0.4))*'SPESE TEC. AMBITO A'!M$9*S59*IF('SPESE TEC. AMBITO A'!$Q$60="X",1,0),IF(('SPESE TEC. AMBITO A'!M$4-$F58)&gt;0,('SPESE TEC. AMBITO A'!M$4-$F58)*(0.03+10/POWER(('SPESE TEC. AMBITO A'!M$4-$F58),0.4))*'SPESE TEC. AMBITO A'!M$9*S59*1,0)*IF('SPESE TEC. AMBITO A'!$Q$60="X",1,0))</f>
        <v>0</v>
      </c>
      <c r="U59" s="31"/>
      <c r="V59" s="32">
        <f>IF('SPESE TEC. AMBITO A'!N$4&gt;$F59,($F59-$F58)*(0.03+10/POWER(($F59-$F58),0.4))*'SPESE TEC. AMBITO A'!N$9*U59*IF('SPESE TEC. AMBITO A'!$T$60="X",1,0),IF(('SPESE TEC. AMBITO A'!N$4-$F58)&gt;0,('SPESE TEC. AMBITO A'!N$4-$F58)*(0.03+10/POWER(('SPESE TEC. AMBITO A'!N$4-$F58),0.4))*'SPESE TEC. AMBITO A'!N$9*U59*1,0)*IF('SPESE TEC. AMBITO A'!$T$60="X",1,0))</f>
        <v>0</v>
      </c>
      <c r="W59"/>
    </row>
    <row r="60" spans="1:23" s="1" customFormat="1" ht="22.5">
      <c r="A60" s="359"/>
      <c r="B60" s="359"/>
      <c r="C60" s="196" t="s">
        <v>147</v>
      </c>
      <c r="D60" s="401"/>
      <c r="E60" s="196" t="s">
        <v>84</v>
      </c>
      <c r="F60" s="285">
        <v>2500000</v>
      </c>
      <c r="G60" s="29">
        <v>2.9000000000000001E-2</v>
      </c>
      <c r="H60" s="32">
        <f>IF('SPESE TEC. AMBITO A'!G$4&gt;$F60,($F60-$F59)*(0.03+10/POWER(($F60-$F59),0.4))*'SPESE TEC. AMBITO A'!G$9*G60*IF('SPESE TEC. AMBITO A'!$E$60="X",1,0)*'SPESE TEC. AMBITO A'!$G$11,IF(('SPESE TEC. AMBITO A'!G$4-$F59)&gt;0,('SPESE TEC. AMBITO A'!G$4-$F59)*(0.03+10/POWER(('SPESE TEC. AMBITO A'!G$4-$F59),0.4))*'SPESE TEC. AMBITO A'!G$9*G60,0)*'SPESE TEC. AMBITO A'!$G$11*IF('SPESE TEC. AMBITO A'!$E$60="X",1,0))</f>
        <v>0</v>
      </c>
      <c r="I60" s="33">
        <v>2.9000000000000001E-2</v>
      </c>
      <c r="J60" s="32">
        <f>IF('SPESE TEC. AMBITO A'!H$4&gt;$F60,($F60-$F59)*(0.03+10/POWER(($F60-$F59),0.4))*'SPESE TEC. AMBITO A'!H$9*'SPESE TEC. AMBITO A'!H$11*I60*IF('SPESE TEC. AMBITO A'!$H$60="X",1,0),IF(('SPESE TEC. AMBITO A'!H$4-$F59)&gt;0,('SPESE TEC. AMBITO A'!H$4-$F59)*(0.03+10/POWER(('SPESE TEC. AMBITO A'!H$4-$F59),0.4))*'SPESE TEC. AMBITO A'!H$9*'SPESE TEC. AMBITO A'!H$11*I60,0)*IF('SPESE TEC. AMBITO A'!$H$60="X",1,0))</f>
        <v>0</v>
      </c>
      <c r="K60" s="29">
        <v>2.9000000000000001E-2</v>
      </c>
      <c r="L60" s="32">
        <f>IF('SPESE TEC. AMBITO A'!I$4&gt;$F60,($F60-$F59)*(0.03+10/POWER(($F60-$F59),0.4))*'SPESE TEC. AMBITO A'!I$9*'SPESE TEC. AMBITO A'!I$11*K60*IF('SPESE TEC. AMBITO A'!$K$60="X",1,0),IF(('SPESE TEC. AMBITO A'!I$4-$F59)&gt;0,('SPESE TEC. AMBITO A'!I$4-$F59)*(0.03+10/POWER(('SPESE TEC. AMBITO A'!I$4-$F59),0.4))*'SPESE TEC. AMBITO A'!I$9*'SPESE TEC. AMBITO A'!I$11*K60*1,0)*IF('SPESE TEC. AMBITO A'!$K$60="X",1,0))</f>
        <v>0</v>
      </c>
      <c r="M60" s="29">
        <v>3.5000000000000003E-2</v>
      </c>
      <c r="N60" s="32">
        <f>IF('SPESE TEC. AMBITO A'!J$4&gt;$F60,($F60-$F59)*(0.03+10/POWER(($F60-$F59),0.4))*'SPESE TEC. AMBITO A'!J$9*'SPESE TEC. AMBITO A'!J$11*M60*IF('SPESE TEC. AMBITO A'!$N$60="X",1,0),IF(('SPESE TEC. AMBITO A'!J$4-$F59)&gt;0,('SPESE TEC. AMBITO A'!J$4-$F59)*(0.03+10/POWER(('SPESE TEC. AMBITO A'!J$4-$F59),0.4))*'SPESE TEC. AMBITO A'!J$9*'SPESE TEC. AMBITO A'!J$11*M60*1,0)*IF('SPESE TEC. AMBITO A'!$N$60="X",1,0))</f>
        <v>0</v>
      </c>
      <c r="O60" s="29">
        <v>7.9000000000000001E-2</v>
      </c>
      <c r="P60" s="31"/>
      <c r="Q60" s="31"/>
      <c r="R60" s="31"/>
      <c r="S60" s="29">
        <v>7.9000000000000001E-2</v>
      </c>
      <c r="T60" s="32">
        <f>IF('SPESE TEC. AMBITO A'!M$4&gt;$F60,($F60-$F59)*(0.03+10/POWER(($F60-$F59),0.4))*'SPESE TEC. AMBITO A'!M$9*S60*IF('SPESE TEC. AMBITO A'!$Q$60="X",1,0),IF(('SPESE TEC. AMBITO A'!M$4-$F59)&gt;0,('SPESE TEC. AMBITO A'!M$4-$F59)*(0.03+10/POWER(('SPESE TEC. AMBITO A'!M$4-$F59),0.4))*'SPESE TEC. AMBITO A'!M$9*S60*1,0)*IF('SPESE TEC. AMBITO A'!$Q$60="X",1,0))</f>
        <v>0</v>
      </c>
      <c r="U60" s="31"/>
      <c r="V60" s="32">
        <f>IF('SPESE TEC. AMBITO A'!N$4&gt;$F60,($F60-$F59)*(0.03+10/POWER(($F60-$F59),0.4))*'SPESE TEC. AMBITO A'!N$9*U60*IF('SPESE TEC. AMBITO A'!$T$60="X",1,0),IF(('SPESE TEC. AMBITO A'!N$4-$F59)&gt;0,('SPESE TEC. AMBITO A'!N$4-$F59)*(0.03+10/POWER(('SPESE TEC. AMBITO A'!N$4-$F59),0.4))*'SPESE TEC. AMBITO A'!N$9*U60*1,0)*IF('SPESE TEC. AMBITO A'!$T$60="X",1,0))</f>
        <v>0</v>
      </c>
      <c r="W60"/>
    </row>
    <row r="61" spans="1:23" s="1" customFormat="1" ht="22.5">
      <c r="A61" s="359"/>
      <c r="B61" s="359"/>
      <c r="C61" s="196" t="s">
        <v>147</v>
      </c>
      <c r="D61" s="401"/>
      <c r="E61" s="196" t="s">
        <v>84</v>
      </c>
      <c r="F61" s="285">
        <v>10000000</v>
      </c>
      <c r="G61" s="29">
        <v>3.7999999999999999E-2</v>
      </c>
      <c r="H61" s="32">
        <f>IF('SPESE TEC. AMBITO A'!G$4&gt;$F61,($F61-$F60)*(0.03+10/POWER(($F61-$F60),0.4))*'SPESE TEC. AMBITO A'!G$9*G61*IF('SPESE TEC. AMBITO A'!$E$60="X",1,0)*'SPESE TEC. AMBITO A'!$G$11,IF(('SPESE TEC. AMBITO A'!G$4-$F60)&gt;0,('SPESE TEC. AMBITO A'!G$4-$F60)*(0.03+10/POWER(('SPESE TEC. AMBITO A'!G$4-$F60),0.4))*'SPESE TEC. AMBITO A'!G$9*G61,0)*'SPESE TEC. AMBITO A'!$G$11*IF('SPESE TEC. AMBITO A'!$E$60="X",1,0))</f>
        <v>0</v>
      </c>
      <c r="I61" s="33">
        <v>3.7999999999999999E-2</v>
      </c>
      <c r="J61" s="32">
        <f>IF('SPESE TEC. AMBITO A'!H$4&gt;$F61,($F61-$F60)*(0.03+10/POWER(($F61-$F60),0.4))*'SPESE TEC. AMBITO A'!H$9*'SPESE TEC. AMBITO A'!H$11*I61*IF('SPESE TEC. AMBITO A'!$H$60="X",1,0),IF(('SPESE TEC. AMBITO A'!H$4-$F60)&gt;0,('SPESE TEC. AMBITO A'!H$4-$F60)*(0.03+10/POWER(('SPESE TEC. AMBITO A'!H$4-$F60),0.4))*'SPESE TEC. AMBITO A'!H$9*'SPESE TEC. AMBITO A'!H$11*I61,0)*IF('SPESE TEC. AMBITO A'!$H$60="X",1,0))</f>
        <v>0</v>
      </c>
      <c r="K61" s="29">
        <v>3.7999999999999999E-2</v>
      </c>
      <c r="L61" s="32">
        <f>IF('SPESE TEC. AMBITO A'!I$4&gt;$F61,($F61-$F60)*(0.03+10/POWER(($F61-$F60),0.4))*'SPESE TEC. AMBITO A'!I$9*'SPESE TEC. AMBITO A'!I$11*K61*IF('SPESE TEC. AMBITO A'!$K$60="X",1,0),IF(('SPESE TEC. AMBITO A'!I$4-$F60)&gt;0,('SPESE TEC. AMBITO A'!I$4-$F60)*(0.03+10/POWER(('SPESE TEC. AMBITO A'!I$4-$F60),0.4))*'SPESE TEC. AMBITO A'!I$9*'SPESE TEC. AMBITO A'!I$11*K61*1,0)*IF('SPESE TEC. AMBITO A'!$K$60="X",1,0))</f>
        <v>0</v>
      </c>
      <c r="M61" s="29">
        <v>0.02</v>
      </c>
      <c r="N61" s="32">
        <f>IF('SPESE TEC. AMBITO A'!J$4&gt;$F61,($F61-$F60)*(0.03+10/POWER(($F61-$F60),0.4))*'SPESE TEC. AMBITO A'!J$9*'SPESE TEC. AMBITO A'!J$11*M61*IF('SPESE TEC. AMBITO A'!$N$60="X",1,0),IF(('SPESE TEC. AMBITO A'!J$4-$F60)&gt;0,('SPESE TEC. AMBITO A'!J$4-$F60)*(0.03+10/POWER(('SPESE TEC. AMBITO A'!J$4-$F60),0.4))*'SPESE TEC. AMBITO A'!J$9*'SPESE TEC. AMBITO A'!J$11*M61*1,0)*IF('SPESE TEC. AMBITO A'!$N$60="X",1,0))</f>
        <v>0</v>
      </c>
      <c r="O61" s="29">
        <v>5.3999999999999999E-2</v>
      </c>
      <c r="P61" s="31"/>
      <c r="Q61" s="31"/>
      <c r="R61" s="31"/>
      <c r="S61" s="29">
        <v>5.3999999999999999E-2</v>
      </c>
      <c r="T61" s="32">
        <f>IF('SPESE TEC. AMBITO A'!M$4&gt;$F61,($F61-$F60)*(0.03+10/POWER(($F61-$F60),0.4))*'SPESE TEC. AMBITO A'!M$9*S61*IF('SPESE TEC. AMBITO A'!$Q$60="X",1,0),IF(('SPESE TEC. AMBITO A'!M$4-$F60)&gt;0,('SPESE TEC. AMBITO A'!M$4-$F60)*(0.03+10/POWER(('SPESE TEC. AMBITO A'!M$4-$F60),0.4))*'SPESE TEC. AMBITO A'!M$9*S61*1,0)*IF('SPESE TEC. AMBITO A'!$Q$60="X",1,0))</f>
        <v>0</v>
      </c>
      <c r="U61" s="31"/>
      <c r="V61" s="32">
        <f>IF('SPESE TEC. AMBITO A'!N$4&gt;$F61,($F61-$F60)*(0.03+10/POWER(($F61-$F60),0.4))*'SPESE TEC. AMBITO A'!N$9*U61*IF('SPESE TEC. AMBITO A'!$T$60="X",1,0),IF(('SPESE TEC. AMBITO A'!N$4-$F60)&gt;0,('SPESE TEC. AMBITO A'!N$4-$F60)*(0.03+10/POWER(('SPESE TEC. AMBITO A'!N$4-$F60),0.4))*'SPESE TEC. AMBITO A'!N$9*U61*1,0)*IF('SPESE TEC. AMBITO A'!$T$60="X",1,0))</f>
        <v>0</v>
      </c>
      <c r="W61"/>
    </row>
    <row r="62" spans="1:23" s="1" customFormat="1" ht="22.5">
      <c r="A62" s="359"/>
      <c r="B62" s="359"/>
      <c r="C62" s="196" t="s">
        <v>147</v>
      </c>
      <c r="D62" s="401"/>
      <c r="E62" s="196" t="s">
        <v>63</v>
      </c>
      <c r="F62" s="286"/>
      <c r="G62" s="29">
        <v>2.8000000000000001E-2</v>
      </c>
      <c r="H62" s="32">
        <f>IF('SPESE TEC. AMBITO A'!G$4&gt;$F61,('SPESE TEC. AMBITO A'!G$4-$F61)*(0.03+10/POWER(('SPESE TEC. AMBITO A'!G$4-$F61),0.4))*'SPESE TEC. AMBITO A'!G$9*G62*IF('SPESE TEC. AMBITO A'!$E$60="X",1,0)*'SPESE TEC. AMBITO A'!$G$11,0)</f>
        <v>0</v>
      </c>
      <c r="I62" s="33">
        <v>2.8000000000000001E-2</v>
      </c>
      <c r="J62" s="32">
        <f>IF('SPESE TEC. AMBITO A'!H$4&gt;$F61,('SPESE TEC. AMBITO A'!H$4-$F61)*(0.03+10/POWER(('SPESE TEC. AMBITO A'!H$4-$F61),0.4))*'SPESE TEC. AMBITO A'!H$9*'SPESE TEC. AMBITO A'!H$11*I62*IF('SPESE TEC. AMBITO A'!$H$60="X",1,0),0)*IF('SPESE TEC. AMBITO A'!$H$60="X",1,0)</f>
        <v>0</v>
      </c>
      <c r="K62" s="29">
        <v>2.8000000000000001E-2</v>
      </c>
      <c r="L62" s="32">
        <f>IF('SPESE TEC. AMBITO A'!I$4&gt;$F61,('SPESE TEC. AMBITO A'!I$4-$F61)*(0.03+10/POWER(('SPESE TEC. AMBITO A'!I$4-$F61),0.4))*'SPESE TEC. AMBITO A'!I$9*'SPESE TEC. AMBITO A'!I$11*K62*1*IF('SPESE TEC. AMBITO A'!$K$60="X",1,0),0)*IF('SPESE TEC. AMBITO A'!$K$60="X",1,0)</f>
        <v>0</v>
      </c>
      <c r="M62" s="29">
        <v>1.7999999999999999E-2</v>
      </c>
      <c r="N62" s="32">
        <f>IF('SPESE TEC. AMBITO A'!J$4&gt;$F61,('SPESE TEC. AMBITO A'!J$4-$F61)*(0.03+10/POWER(('SPESE TEC. AMBITO A'!J$4-$F61),0.4))*'SPESE TEC. AMBITO A'!J$9*'SPESE TEC. AMBITO A'!J$11*M62*1*IF('SPESE TEC. AMBITO A'!$N$60="X",1,0),0)*IF('SPESE TEC. AMBITO A'!$N$60="X",1,0)</f>
        <v>0</v>
      </c>
      <c r="O62" s="29">
        <v>3.5000000000000003E-2</v>
      </c>
      <c r="P62" s="31"/>
      <c r="Q62" s="31"/>
      <c r="R62" s="31"/>
      <c r="S62" s="29">
        <v>3.5000000000000003E-2</v>
      </c>
      <c r="T62" s="32">
        <f>IF('SPESE TEC. AMBITO A'!M$4&gt;$F61,('SPESE TEC. AMBITO A'!M$4-$F61)*(0.03+10/POWER(('SPESE TEC. AMBITO A'!M$4-$F61),0.4))*'SPESE TEC. AMBITO A'!M$9*S62*1*IF('SPESE TEC. AMBITO A'!$Q$60="X",1,0),0)*IF('SPESE TEC. AMBITO A'!$Q$60="X",1,0)</f>
        <v>0</v>
      </c>
      <c r="U62" s="31"/>
      <c r="V62" s="32">
        <f>IF('SPESE TEC. AMBITO A'!N$4&gt;$F61,('SPESE TEC. AMBITO A'!N$4-$F61)*(0.03+10/POWER(('SPESE TEC. AMBITO A'!N$4-$F61),0.4))*'SPESE TEC. AMBITO A'!N$9*U62*1*IF('SPESE TEC. AMBITO A'!$T$60="X",1,0),0)*IF('SPESE TEC. AMBITO A'!$T$60="X",1,0)</f>
        <v>0</v>
      </c>
      <c r="W62"/>
    </row>
    <row r="63" spans="1:23" s="1" customFormat="1" ht="15" customHeight="1">
      <c r="A63" s="359"/>
      <c r="B63" s="359"/>
      <c r="C63" s="196" t="s">
        <v>148</v>
      </c>
      <c r="D63" s="401" t="s">
        <v>149</v>
      </c>
      <c r="E63" s="401"/>
      <c r="F63" s="401"/>
      <c r="G63" s="31"/>
      <c r="H63" s="32">
        <f>IF('SPESE TEC. AMBITO A'!$E61="X",1,0)*'SPESE TEC. AMBITO A'!G$4*'SPESE TEC. AMBITO A'!G$7*'SPESE TEC. AMBITO A'!G$9*'SPESE TEC. AMBITO A'!G$11*G63</f>
        <v>0</v>
      </c>
      <c r="I63" s="29">
        <v>0.09</v>
      </c>
      <c r="J63" s="32">
        <f>IF('SPESE TEC. AMBITO A'!$H61="X",1,0)*'SPESE TEC. AMBITO A'!H$4*'SPESE TEC. AMBITO A'!H$7*'SPESE TEC. AMBITO A'!H$9*'SPESE TEC. AMBITO A'!H$11*I63</f>
        <v>0</v>
      </c>
      <c r="K63" s="31"/>
      <c r="L63" s="32">
        <f>IF('SPESE TEC. AMBITO A'!$K61="X",1,0)*'SPESE TEC. AMBITO A'!I$4*'SPESE TEC. AMBITO A'!I$7*'SPESE TEC. AMBITO A'!I$9*'SPESE TEC. AMBITO A'!I$11*K63*1</f>
        <v>0</v>
      </c>
      <c r="M63" s="31"/>
      <c r="N63" s="32">
        <f>IF('SPESE TEC. AMBITO A'!$N61="X",1,0)*'SPESE TEC. AMBITO A'!J$4*'SPESE TEC. AMBITO A'!J$7*'SPESE TEC. AMBITO A'!J$9*'SPESE TEC. AMBITO A'!J$11*M63*1</f>
        <v>0</v>
      </c>
      <c r="O63" s="31"/>
      <c r="P63" s="31"/>
      <c r="Q63" s="31"/>
      <c r="R63" s="31"/>
      <c r="S63" s="31"/>
      <c r="T63" s="32">
        <f>IF('SPESE TEC. AMBITO A'!$Q61="X",1,0)*'SPESE TEC. AMBITO A'!M$4*'SPESE TEC. AMBITO A'!M$7*'SPESE TEC. AMBITO A'!M$9*'SPESE TEC. AMBITO A'!M$11*S63*1</f>
        <v>0</v>
      </c>
      <c r="U63" s="31"/>
      <c r="V63" s="32">
        <f>IF('SPESE TEC. AMBITO A'!$T61="X",1,0)*'SPESE TEC. AMBITO A'!N$4*'SPESE TEC. AMBITO A'!N$7*'SPESE TEC. AMBITO A'!N$9*'SPESE TEC. AMBITO A'!N$11*U63*1</f>
        <v>0</v>
      </c>
      <c r="W63"/>
    </row>
    <row r="64" spans="1:23" s="1" customFormat="1" ht="15" customHeight="1">
      <c r="A64" s="359"/>
      <c r="B64" s="359"/>
      <c r="C64" s="196" t="s">
        <v>150</v>
      </c>
      <c r="D64" s="401" t="s">
        <v>151</v>
      </c>
      <c r="E64" s="401"/>
      <c r="F64" s="401"/>
      <c r="G64" s="31"/>
      <c r="H64" s="32">
        <f>IF('SPESE TEC. AMBITO A'!$E62="X",1,0)*'SPESE TEC. AMBITO A'!G$4*'SPESE TEC. AMBITO A'!G$7*'SPESE TEC. AMBITO A'!G$9*'SPESE TEC. AMBITO A'!G$11*G64</f>
        <v>0</v>
      </c>
      <c r="I64" s="29">
        <v>0.12</v>
      </c>
      <c r="J64" s="32">
        <f>IF('SPESE TEC. AMBITO A'!$H62="X",1,0)*'SPESE TEC. AMBITO A'!H$4*'SPESE TEC. AMBITO A'!H$7*'SPESE TEC. AMBITO A'!H$9*'SPESE TEC. AMBITO A'!H$11*I64</f>
        <v>0</v>
      </c>
      <c r="K64" s="31"/>
      <c r="L64" s="32">
        <f>IF('SPESE TEC. AMBITO A'!$K62="X",1,0)*'SPESE TEC. AMBITO A'!I$4*'SPESE TEC. AMBITO A'!I$7*'SPESE TEC. AMBITO A'!I$9*'SPESE TEC. AMBITO A'!I$11*K64*1</f>
        <v>0</v>
      </c>
      <c r="M64" s="31"/>
      <c r="N64" s="32">
        <f>IF('SPESE TEC. AMBITO A'!$N62="X",1,0)*'SPESE TEC. AMBITO A'!J$4*'SPESE TEC. AMBITO A'!J$7*'SPESE TEC. AMBITO A'!J$9*'SPESE TEC. AMBITO A'!J$11*M64*1</f>
        <v>0</v>
      </c>
      <c r="O64" s="31"/>
      <c r="P64" s="31"/>
      <c r="Q64" s="31"/>
      <c r="R64" s="31"/>
      <c r="S64" s="31"/>
      <c r="T64" s="32">
        <f>IF('SPESE TEC. AMBITO A'!$Q62="X",1,0)*'SPESE TEC. AMBITO A'!M$4*'SPESE TEC. AMBITO A'!M$7*'SPESE TEC. AMBITO A'!M$9*'SPESE TEC. AMBITO A'!M$11*S64*1</f>
        <v>0</v>
      </c>
      <c r="U64" s="31"/>
      <c r="V64" s="32">
        <f>IF('SPESE TEC. AMBITO A'!$T62="X",1,0)*'SPESE TEC. AMBITO A'!N$4*'SPESE TEC. AMBITO A'!N$7*'SPESE TEC. AMBITO A'!N$9*'SPESE TEC. AMBITO A'!N$11*U64*1</f>
        <v>0</v>
      </c>
      <c r="W64"/>
    </row>
    <row r="65" spans="1:23" s="1" customFormat="1" ht="15" customHeight="1">
      <c r="A65" s="359"/>
      <c r="B65" s="359"/>
      <c r="C65" s="196" t="s">
        <v>152</v>
      </c>
      <c r="D65" s="401" t="s">
        <v>153</v>
      </c>
      <c r="E65" s="401"/>
      <c r="F65" s="401"/>
      <c r="G65" s="31"/>
      <c r="H65" s="32">
        <f>IF('SPESE TEC. AMBITO A'!$E63="X",1,0)*'SPESE TEC. AMBITO A'!G$4*'SPESE TEC. AMBITO A'!G$7*'SPESE TEC. AMBITO A'!G$9*'SPESE TEC. AMBITO A'!G$11*G65</f>
        <v>0</v>
      </c>
      <c r="I65" s="29">
        <v>0.18</v>
      </c>
      <c r="J65" s="32">
        <f>IF('SPESE TEC. AMBITO A'!$H63="X",1,0)*'SPESE TEC. AMBITO A'!H$4*'SPESE TEC. AMBITO A'!H$7*'SPESE TEC. AMBITO A'!H$9*'SPESE TEC. AMBITO A'!H$11*I65</f>
        <v>0</v>
      </c>
      <c r="K65" s="31"/>
      <c r="L65" s="32">
        <f>IF('SPESE TEC. AMBITO A'!$K63="X",1,0)*'SPESE TEC. AMBITO A'!I$4*'SPESE TEC. AMBITO A'!I$7*'SPESE TEC. AMBITO A'!I$9*'SPESE TEC. AMBITO A'!I$11*K65*1</f>
        <v>0</v>
      </c>
      <c r="M65" s="31"/>
      <c r="N65" s="32">
        <f>IF('SPESE TEC. AMBITO A'!$N63="X",1,0)*'SPESE TEC. AMBITO A'!J$4*'SPESE TEC. AMBITO A'!J$7*'SPESE TEC. AMBITO A'!J$9*'SPESE TEC. AMBITO A'!J$11*M65*1</f>
        <v>0</v>
      </c>
      <c r="O65" s="31"/>
      <c r="P65" s="31"/>
      <c r="Q65" s="31"/>
      <c r="R65" s="31"/>
      <c r="S65" s="31"/>
      <c r="T65" s="32">
        <f>IF('SPESE TEC. AMBITO A'!$Q63="X",1,0)*'SPESE TEC. AMBITO A'!M$4*'SPESE TEC. AMBITO A'!M$7*'SPESE TEC. AMBITO A'!M$9*'SPESE TEC. AMBITO A'!M$11*S65*1</f>
        <v>0</v>
      </c>
      <c r="U65" s="31"/>
      <c r="V65" s="32">
        <f>IF('SPESE TEC. AMBITO A'!$T63="X",1,0)*'SPESE TEC. AMBITO A'!N$4*'SPESE TEC. AMBITO A'!N$7*'SPESE TEC. AMBITO A'!N$9*'SPESE TEC. AMBITO A'!N$11*U65*1</f>
        <v>0</v>
      </c>
      <c r="W65"/>
    </row>
    <row r="66" spans="1:23" s="1" customFormat="1" ht="15" customHeight="1">
      <c r="A66" s="359"/>
      <c r="B66" s="359"/>
      <c r="C66" s="196" t="s">
        <v>154</v>
      </c>
      <c r="D66" s="401" t="s">
        <v>155</v>
      </c>
      <c r="E66" s="401"/>
      <c r="F66" s="401"/>
      <c r="G66" s="29">
        <v>0.05</v>
      </c>
      <c r="H66" s="32">
        <f>IF('SPESE TEC. AMBITO A'!$E64="X",1,0)*'SPESE TEC. AMBITO A'!G$4*'SPESE TEC. AMBITO A'!G$7*'SPESE TEC. AMBITO A'!G$9*'SPESE TEC. AMBITO A'!G$11*G66</f>
        <v>0</v>
      </c>
      <c r="I66" s="29">
        <v>0.05</v>
      </c>
      <c r="J66" s="32">
        <f>IF('SPESE TEC. AMBITO A'!$H64="X",1,0)*'SPESE TEC. AMBITO A'!H$4*'SPESE TEC. AMBITO A'!H$7*'SPESE TEC. AMBITO A'!H$9*'SPESE TEC. AMBITO A'!H$11*I66</f>
        <v>0</v>
      </c>
      <c r="K66" s="29">
        <v>0.05</v>
      </c>
      <c r="L66" s="32">
        <f>IF('SPESE TEC. AMBITO A'!$K64="X",1,0)*'SPESE TEC. AMBITO A'!I$4*'SPESE TEC. AMBITO A'!I$7*'SPESE TEC. AMBITO A'!I$9*'SPESE TEC. AMBITO A'!I$11*K66*1</f>
        <v>0</v>
      </c>
      <c r="M66" s="29">
        <v>0.05</v>
      </c>
      <c r="N66" s="32">
        <f>IF('SPESE TEC. AMBITO A'!$N64="X",1,0)*'SPESE TEC. AMBITO A'!J$4*'SPESE TEC. AMBITO A'!J$7*'SPESE TEC. AMBITO A'!J$9*'SPESE TEC. AMBITO A'!J$11*M66*1</f>
        <v>0</v>
      </c>
      <c r="O66" s="29">
        <v>0.05</v>
      </c>
      <c r="P66" s="31"/>
      <c r="Q66" s="29">
        <v>0.05</v>
      </c>
      <c r="R66" s="31"/>
      <c r="S66" s="29">
        <v>0.05</v>
      </c>
      <c r="T66" s="32">
        <f>IF('SPESE TEC. AMBITO A'!$Q64="X",1,0)*'SPESE TEC. AMBITO A'!M$4*'SPESE TEC. AMBITO A'!M$7*'SPESE TEC. AMBITO A'!M$9*'SPESE TEC. AMBITO A'!M$11*S66*1</f>
        <v>0</v>
      </c>
      <c r="U66" s="31"/>
      <c r="V66" s="32">
        <f>IF('SPESE TEC. AMBITO A'!$T64="X",1,0)*'SPESE TEC. AMBITO A'!N$4*'SPESE TEC. AMBITO A'!N$7*'SPESE TEC. AMBITO A'!N$9*'SPESE TEC. AMBITO A'!N$11*U66*1</f>
        <v>0</v>
      </c>
      <c r="W66"/>
    </row>
    <row r="67" spans="1:23" s="1" customFormat="1" ht="15" customHeight="1">
      <c r="A67" s="359"/>
      <c r="B67" s="359"/>
      <c r="C67" s="196" t="s">
        <v>156</v>
      </c>
      <c r="D67" s="401" t="s">
        <v>157</v>
      </c>
      <c r="E67" s="401"/>
      <c r="F67" s="401"/>
      <c r="G67" s="29">
        <v>0.06</v>
      </c>
      <c r="H67" s="32">
        <f>IF('SPESE TEC. AMBITO A'!$E65="X",1,0)*'SPESE TEC. AMBITO A'!G$4*'SPESE TEC. AMBITO A'!G$7*'SPESE TEC. AMBITO A'!G$9*'SPESE TEC. AMBITO A'!G$11*G67</f>
        <v>0</v>
      </c>
      <c r="I67" s="29">
        <v>0.06</v>
      </c>
      <c r="J67" s="32">
        <f>IF('SPESE TEC. AMBITO A'!$H65="X",1,0)*'SPESE TEC. AMBITO A'!H$4*'SPESE TEC. AMBITO A'!H$7*'SPESE TEC. AMBITO A'!H$9*'SPESE TEC. AMBITO A'!H$11*I67</f>
        <v>0</v>
      </c>
      <c r="K67" s="29">
        <v>0.06</v>
      </c>
      <c r="L67" s="32">
        <f>IF('SPESE TEC. AMBITO A'!$K65="X",1,0)*'SPESE TEC. AMBITO A'!I$4*'SPESE TEC. AMBITO A'!I$7*'SPESE TEC. AMBITO A'!I$9*'SPESE TEC. AMBITO A'!I$11*K67*1</f>
        <v>0</v>
      </c>
      <c r="M67" s="31"/>
      <c r="N67" s="32">
        <f>IF('SPESE TEC. AMBITO A'!$N65="X",1,0)*'SPESE TEC. AMBITO A'!J$4*'SPESE TEC. AMBITO A'!J$7*'SPESE TEC. AMBITO A'!J$9*'SPESE TEC. AMBITO A'!J$11*M67*1</f>
        <v>0</v>
      </c>
      <c r="O67" s="31"/>
      <c r="P67" s="31"/>
      <c r="Q67" s="31"/>
      <c r="R67" s="31"/>
      <c r="S67" s="31"/>
      <c r="T67" s="32">
        <f>IF('SPESE TEC. AMBITO A'!$Q65="X",1,0)*'SPESE TEC. AMBITO A'!M$4*'SPESE TEC. AMBITO A'!M$7*'SPESE TEC. AMBITO A'!M$9*'SPESE TEC. AMBITO A'!M$11*S67*1</f>
        <v>0</v>
      </c>
      <c r="U67" s="31"/>
      <c r="V67" s="32">
        <f>IF('SPESE TEC. AMBITO A'!$T65="X",1,0)*'SPESE TEC. AMBITO A'!N$4*'SPESE TEC. AMBITO A'!N$7*'SPESE TEC. AMBITO A'!N$9*'SPESE TEC. AMBITO A'!N$11*U67*1</f>
        <v>0</v>
      </c>
      <c r="W67"/>
    </row>
    <row r="68" spans="1:23" s="1" customFormat="1" ht="15" customHeight="1">
      <c r="A68" s="359"/>
      <c r="B68" s="359"/>
      <c r="C68" s="196" t="s">
        <v>158</v>
      </c>
      <c r="D68" s="401" t="s">
        <v>159</v>
      </c>
      <c r="E68" s="401"/>
      <c r="F68" s="401"/>
      <c r="G68" s="29">
        <v>0.02</v>
      </c>
      <c r="H68" s="32">
        <f>IF('SPESE TEC. AMBITO A'!$E66="X",1,0)*'SPESE TEC. AMBITO A'!G$4*'SPESE TEC. AMBITO A'!G$7*'SPESE TEC. AMBITO A'!G$9*'SPESE TEC. AMBITO A'!G$11*G68</f>
        <v>281.40543182618416</v>
      </c>
      <c r="I68" s="29">
        <v>0.02</v>
      </c>
      <c r="J68" s="32">
        <f>IF('SPESE TEC. AMBITO A'!$H66="X",1,0)*'SPESE TEC. AMBITO A'!H$4*'SPESE TEC. AMBITO A'!H$7*'SPESE TEC. AMBITO A'!H$9*'SPESE TEC. AMBITO A'!H$11*I68</f>
        <v>0</v>
      </c>
      <c r="K68" s="29">
        <v>0.02</v>
      </c>
      <c r="L68" s="32">
        <f>IF('SPESE TEC. AMBITO A'!$K66="X",1,0)*'SPESE TEC. AMBITO A'!I$4*'SPESE TEC. AMBITO A'!I$7*'SPESE TEC. AMBITO A'!I$9*'SPESE TEC. AMBITO A'!I$11*K68*1</f>
        <v>0</v>
      </c>
      <c r="M68" s="29">
        <v>0.02</v>
      </c>
      <c r="N68" s="32">
        <f>IF('SPESE TEC. AMBITO A'!$N66="X",1,0)*'SPESE TEC. AMBITO A'!J$4*'SPESE TEC. AMBITO A'!J$7*'SPESE TEC. AMBITO A'!J$9*'SPESE TEC. AMBITO A'!J$11*M68*1</f>
        <v>0</v>
      </c>
      <c r="O68" s="29">
        <v>0.02</v>
      </c>
      <c r="P68" s="31"/>
      <c r="Q68" s="29">
        <v>0.02</v>
      </c>
      <c r="R68" s="31"/>
      <c r="S68" s="29">
        <v>0.02</v>
      </c>
      <c r="T68" s="182">
        <f>IF('SPESE TEC. AMBITO A'!$Q66="X",1,0)*'SPESE TEC. AMBITO A'!M$4*'SPESE TEC. AMBITO A'!M$7*'SPESE TEC. AMBITO A'!M$9*'SPESE TEC. AMBITO A'!M$11*S68*1*IF('SPESE TEC. AMBITO A'!G$4&lt;5000,1/0.65,1)</f>
        <v>0</v>
      </c>
      <c r="U68" s="31"/>
      <c r="V68" s="32">
        <f>IF('SPESE TEC. AMBITO A'!$T66="X",1,0)*'SPESE TEC. AMBITO A'!N$4*'SPESE TEC. AMBITO A'!N$7*'SPESE TEC. AMBITO A'!N$9*'SPESE TEC. AMBITO A'!N$11*U68*1</f>
        <v>0</v>
      </c>
      <c r="W68"/>
    </row>
    <row r="69" spans="1:23" s="1" customFormat="1" ht="15" customHeight="1">
      <c r="A69" s="359"/>
      <c r="B69" s="359"/>
      <c r="C69" s="196" t="s">
        <v>160</v>
      </c>
      <c r="D69" s="401" t="s">
        <v>161</v>
      </c>
      <c r="E69" s="401"/>
      <c r="F69" s="401"/>
      <c r="G69" s="29">
        <v>0.02</v>
      </c>
      <c r="H69" s="32">
        <f>IF('SPESE TEC. AMBITO A'!$E67="X",1,0)*'SPESE TEC. AMBITO A'!G$4*'SPESE TEC. AMBITO A'!G$7*'SPESE TEC. AMBITO A'!G$9*'SPESE TEC. AMBITO A'!G$11*G69</f>
        <v>0</v>
      </c>
      <c r="I69" s="29">
        <v>0.02</v>
      </c>
      <c r="J69" s="32">
        <f>IF('SPESE TEC. AMBITO A'!$H67="X",1,0)*'SPESE TEC. AMBITO A'!H$4*'SPESE TEC. AMBITO A'!H$7*'SPESE TEC. AMBITO A'!H$9*'SPESE TEC. AMBITO A'!H$11*I69</f>
        <v>0</v>
      </c>
      <c r="K69" s="29">
        <v>0.02</v>
      </c>
      <c r="L69" s="32">
        <f>IF('SPESE TEC. AMBITO A'!$K67="X",1,0)*'SPESE TEC. AMBITO A'!I$4*'SPESE TEC. AMBITO A'!I$7*'SPESE TEC. AMBITO A'!I$9*'SPESE TEC. AMBITO A'!I$11*K69*1</f>
        <v>0</v>
      </c>
      <c r="M69" s="29">
        <v>0.02</v>
      </c>
      <c r="N69" s="32">
        <f>IF('SPESE TEC. AMBITO A'!$N67="X",1,0)*'SPESE TEC. AMBITO A'!J$4*'SPESE TEC. AMBITO A'!J$7*'SPESE TEC. AMBITO A'!J$9*'SPESE TEC. AMBITO A'!J$11*M69*1</f>
        <v>0</v>
      </c>
      <c r="O69" s="31"/>
      <c r="P69" s="31"/>
      <c r="Q69" s="31"/>
      <c r="R69" s="31"/>
      <c r="S69" s="31"/>
      <c r="T69" s="32">
        <f>IF('SPESE TEC. AMBITO A'!$Q67="X",1,0)*'SPESE TEC. AMBITO A'!M$4*'SPESE TEC. AMBITO A'!M$7*'SPESE TEC. AMBITO A'!M$9*'SPESE TEC. AMBITO A'!M$11*S69*1</f>
        <v>0</v>
      </c>
      <c r="U69" s="31"/>
      <c r="V69" s="32">
        <f>IF('SPESE TEC. AMBITO A'!$T67="X",1,0)*'SPESE TEC. AMBITO A'!N$4*'SPESE TEC. AMBITO A'!N$7*'SPESE TEC. AMBITO A'!N$9*'SPESE TEC. AMBITO A'!N$11*U69*1</f>
        <v>0</v>
      </c>
      <c r="W69"/>
    </row>
    <row r="70" spans="1:23" s="1" customFormat="1" ht="15" customHeight="1">
      <c r="A70" s="359"/>
      <c r="B70" s="359"/>
      <c r="C70" s="287" t="s">
        <v>162</v>
      </c>
      <c r="D70" s="401" t="s">
        <v>163</v>
      </c>
      <c r="E70" s="401"/>
      <c r="F70" s="401"/>
      <c r="G70" s="29">
        <v>0.03</v>
      </c>
      <c r="H70" s="32">
        <f>IF('SPESE TEC. AMBITO A'!$E68="X",1,0)*'SPESE TEC. AMBITO A'!G$4*'SPESE TEC. AMBITO A'!G$7*'SPESE TEC. AMBITO A'!G$9*'SPESE TEC. AMBITO A'!G$11*G70</f>
        <v>0</v>
      </c>
      <c r="I70" s="29">
        <v>0.03</v>
      </c>
      <c r="J70" s="32">
        <f>IF('SPESE TEC. AMBITO A'!$H68="X",1,0)*'SPESE TEC. AMBITO A'!H$4*'SPESE TEC. AMBITO A'!H$7*'SPESE TEC. AMBITO A'!H$9*'SPESE TEC. AMBITO A'!H$11*I70</f>
        <v>0</v>
      </c>
      <c r="K70" s="29">
        <v>0.03</v>
      </c>
      <c r="L70" s="32">
        <f>IF('SPESE TEC. AMBITO A'!$K68="X",1,0)*'SPESE TEC. AMBITO A'!I$4*'SPESE TEC. AMBITO A'!I$7*'SPESE TEC. AMBITO A'!I$9*'SPESE TEC. AMBITO A'!I$11*K70*1</f>
        <v>0</v>
      </c>
      <c r="M70" s="31"/>
      <c r="N70" s="32">
        <f>IF('SPESE TEC. AMBITO A'!$N68="X",1,0)*'SPESE TEC. AMBITO A'!J$4*'SPESE TEC. AMBITO A'!J$7*'SPESE TEC. AMBITO A'!J$9*'SPESE TEC. AMBITO A'!J$11*M70*1</f>
        <v>0</v>
      </c>
      <c r="O70" s="31"/>
      <c r="P70" s="31"/>
      <c r="Q70" s="31"/>
      <c r="R70" s="31"/>
      <c r="S70" s="31"/>
      <c r="T70" s="32">
        <f>IF('SPESE TEC. AMBITO A'!$Q68="X",1,0)*'SPESE TEC. AMBITO A'!M$4*'SPESE TEC. AMBITO A'!M$7*'SPESE TEC. AMBITO A'!M$9*'SPESE TEC. AMBITO A'!M$11*S70*1</f>
        <v>0</v>
      </c>
      <c r="U70" s="31"/>
      <c r="V70" s="32">
        <f>IF('SPESE TEC. AMBITO A'!$T68="X",1,0)*'SPESE TEC. AMBITO A'!N$4*'SPESE TEC. AMBITO A'!N$7*'SPESE TEC. AMBITO A'!N$9*'SPESE TEC. AMBITO A'!N$11*U70*1</f>
        <v>0</v>
      </c>
      <c r="W70"/>
    </row>
    <row r="71" spans="1:23" s="1" customFormat="1" ht="15" customHeight="1">
      <c r="A71" s="359"/>
      <c r="B71" s="359"/>
      <c r="C71" s="196" t="s">
        <v>164</v>
      </c>
      <c r="D71" s="401" t="s">
        <v>242</v>
      </c>
      <c r="E71" s="402"/>
      <c r="F71" s="402"/>
      <c r="G71" s="29">
        <v>0.02</v>
      </c>
      <c r="H71" s="32">
        <f>IF('SPESE TEC. AMBITO A'!$E69="X",1,0)*'SPESE TEC. AMBITO A'!G$4*'SPESE TEC. AMBITO A'!G$7*'SPESE TEC. AMBITO A'!G$9*'SPESE TEC. AMBITO A'!G$11*G71</f>
        <v>0</v>
      </c>
      <c r="I71" s="29">
        <v>0.02</v>
      </c>
      <c r="J71" s="32">
        <f>IF('SPESE TEC. AMBITO A'!$H69="X",1,0)*'SPESE TEC. AMBITO A'!H$4*'SPESE TEC. AMBITO A'!H$7*'SPESE TEC. AMBITO A'!H$9*'SPESE TEC. AMBITO A'!H$11*I71</f>
        <v>0</v>
      </c>
      <c r="K71" s="29">
        <v>0.02</v>
      </c>
      <c r="L71" s="32">
        <f>IF('SPESE TEC. AMBITO A'!$K69="X",1,0)*'SPESE TEC. AMBITO A'!I$4*'SPESE TEC. AMBITO A'!I$7*'SPESE TEC. AMBITO A'!I$9*'SPESE TEC. AMBITO A'!I$11*K71*1</f>
        <v>0</v>
      </c>
      <c r="M71" s="31"/>
      <c r="N71" s="32">
        <f>IF('SPESE TEC. AMBITO A'!$N69="X",1,0)*'SPESE TEC. AMBITO A'!J$4*'SPESE TEC. AMBITO A'!J$7*'SPESE TEC. AMBITO A'!J$9*'SPESE TEC. AMBITO A'!J$11*M71*1</f>
        <v>0</v>
      </c>
      <c r="O71" s="31"/>
      <c r="P71" s="31"/>
      <c r="Q71" s="31"/>
      <c r="R71" s="31"/>
      <c r="S71" s="31"/>
      <c r="T71" s="32">
        <f>IF('SPESE TEC. AMBITO A'!$Q69="X",1,0)*'SPESE TEC. AMBITO A'!M$4*'SPESE TEC. AMBITO A'!M$7*'SPESE TEC. AMBITO A'!M$9*'SPESE TEC. AMBITO A'!M$11*S71*1</f>
        <v>0</v>
      </c>
      <c r="U71" s="31"/>
      <c r="V71" s="32">
        <f>IF('SPESE TEC. AMBITO A'!$T69="X",1,0)*'SPESE TEC. AMBITO A'!N$4*'SPESE TEC. AMBITO A'!N$7*'SPESE TEC. AMBITO A'!N$9*'SPESE TEC. AMBITO A'!N$11*U71*1</f>
        <v>0</v>
      </c>
      <c r="W71"/>
    </row>
    <row r="72" spans="1:23" s="1" customFormat="1" ht="15" customHeight="1">
      <c r="A72" s="359"/>
      <c r="B72" s="359"/>
      <c r="C72" s="196" t="s">
        <v>165</v>
      </c>
      <c r="D72" s="401" t="s">
        <v>166</v>
      </c>
      <c r="E72" s="401"/>
      <c r="F72" s="401"/>
      <c r="G72" s="29">
        <v>0.01</v>
      </c>
      <c r="H72" s="32">
        <f>IF('SPESE TEC. AMBITO A'!$E70="X",1,0)*'SPESE TEC. AMBITO A'!G$4*'SPESE TEC. AMBITO A'!G$7*'SPESE TEC. AMBITO A'!G$9*'SPESE TEC. AMBITO A'!G$11*G72</f>
        <v>0</v>
      </c>
      <c r="I72" s="29">
        <v>0.01</v>
      </c>
      <c r="J72" s="32">
        <f>IF('SPESE TEC. AMBITO A'!$H70="X",1,0)*'SPESE TEC. AMBITO A'!H$4*'SPESE TEC. AMBITO A'!H$7*'SPESE TEC. AMBITO A'!H$9*'SPESE TEC. AMBITO A'!H$11*I72</f>
        <v>0</v>
      </c>
      <c r="K72" s="29">
        <v>0.01</v>
      </c>
      <c r="L72" s="32">
        <f>IF('SPESE TEC. AMBITO A'!$K70="X",1,0)*'SPESE TEC. AMBITO A'!I$4*'SPESE TEC. AMBITO A'!I$7*'SPESE TEC. AMBITO A'!I$9*'SPESE TEC. AMBITO A'!I$11*K72*1</f>
        <v>0</v>
      </c>
      <c r="M72" s="29">
        <v>0.01</v>
      </c>
      <c r="N72" s="32">
        <f>IF('SPESE TEC. AMBITO A'!$N70="X",1,0)*'SPESE TEC. AMBITO A'!J$4*'SPESE TEC. AMBITO A'!J$7*'SPESE TEC. AMBITO A'!J$9*'SPESE TEC. AMBITO A'!J$11*M72*1</f>
        <v>0</v>
      </c>
      <c r="O72" s="29">
        <v>0.01</v>
      </c>
      <c r="P72" s="31"/>
      <c r="Q72" s="29">
        <v>0.01</v>
      </c>
      <c r="R72" s="31"/>
      <c r="S72" s="29">
        <v>0.01</v>
      </c>
      <c r="T72" s="32">
        <f>IF('SPESE TEC. AMBITO A'!$Q70="X",1,0)*'SPESE TEC. AMBITO A'!M$4*'SPESE TEC. AMBITO A'!M$7*'SPESE TEC. AMBITO A'!M$9*'SPESE TEC. AMBITO A'!M$11*S72*1</f>
        <v>0</v>
      </c>
      <c r="U72" s="31"/>
      <c r="V72" s="32">
        <f>IF('SPESE TEC. AMBITO A'!$T70="X",1,0)*'SPESE TEC. AMBITO A'!N$4*'SPESE TEC. AMBITO A'!N$7*'SPESE TEC. AMBITO A'!N$9*'SPESE TEC. AMBITO A'!N$11*U72*1</f>
        <v>0</v>
      </c>
      <c r="W72"/>
    </row>
    <row r="73" spans="1:23" s="1" customFormat="1" ht="15" customHeight="1">
      <c r="A73" s="359"/>
      <c r="B73" s="359"/>
      <c r="C73" s="196" t="s">
        <v>167</v>
      </c>
      <c r="D73" s="401" t="s">
        <v>319</v>
      </c>
      <c r="E73" s="196" t="s">
        <v>62</v>
      </c>
      <c r="F73" s="288">
        <v>5000000</v>
      </c>
      <c r="G73" s="29">
        <v>0.09</v>
      </c>
      <c r="H73" s="32">
        <f>IF('SPESE TEC. AMBITO A'!G$4&gt;$F73,$F73*(0.03+10/POWER($F73,0.4))*'SPESE TEC. AMBITO A'!G$9*'SPESE TEC. AMBITO A'!G$11*G73*IF('SPESE TEC. AMBITO A'!$E$71="X",1,0),'SPESE TEC. AMBITO A'!G$4*'SPESE TEC. AMBITO A'!G$7*'SPESE TEC. AMBITO A'!G$9*'SPESE TEC. AMBITO A'!G$11*G73)*IF('SPESE TEC. AMBITO A'!$E$71="X",1,0)</f>
        <v>0</v>
      </c>
      <c r="I73" s="29">
        <v>0.1</v>
      </c>
      <c r="J73" s="32">
        <f>IF('SPESE TEC. AMBITO A'!H$4&gt;$F73,$F73*(0.03+10/POWER($F73,0.4))*'SPESE TEC. AMBITO A'!H$9*'SPESE TEC. AMBITO A'!H$11*I73*IF('SPESE TEC. AMBITO A'!$H$71="X",1,0),'SPESE TEC. AMBITO A'!H$4*'SPESE TEC. AMBITO A'!H$7*'SPESE TEC. AMBITO A'!H$9*'SPESE TEC. AMBITO A'!H$11*I73)*IF('SPESE TEC. AMBITO A'!$H$71="X",1,0)</f>
        <v>0</v>
      </c>
      <c r="K73" s="29">
        <v>0.09</v>
      </c>
      <c r="L73" s="32">
        <f>IF('SPESE TEC. AMBITO A'!I$4&gt;$F73,$F73*(0.03+10/POWER($F73,0.4))*'SPESE TEC. AMBITO A'!I$9*'SPESE TEC. AMBITO A'!I$11*K73*IF('SPESE TEC. AMBITO A'!$K$71="X",1,0),'SPESE TEC. AMBITO A'!I$4*'SPESE TEC. AMBITO A'!I$7*'SPESE TEC. AMBITO A'!I$9*'SPESE TEC. AMBITO A'!I$11*K73*1)*IF('SPESE TEC. AMBITO A'!$K$71="X",1,0)</f>
        <v>0</v>
      </c>
      <c r="M73" s="29">
        <v>0.1</v>
      </c>
      <c r="N73" s="32">
        <f>IF('SPESE TEC. AMBITO A'!J$4&gt;$F73,$F73*(0.03+10/POWER($F73,0.4))*'SPESE TEC. AMBITO A'!J$9*M73*IF('SPESE TEC. AMBITO A'!$N$71="X",1,0),'SPESE TEC. AMBITO A'!J$4*'SPESE TEC. AMBITO A'!J$7*'SPESE TEC. AMBITO A'!J$9*M73*1)*IF('SPESE TEC. AMBITO A'!$N$71="X",1,0)</f>
        <v>0</v>
      </c>
      <c r="O73" s="29">
        <v>0.1</v>
      </c>
      <c r="P73" s="31"/>
      <c r="Q73" s="29">
        <v>0.09</v>
      </c>
      <c r="R73" s="31"/>
      <c r="S73" s="29">
        <v>0.1</v>
      </c>
      <c r="T73" s="32">
        <f>IF('SPESE TEC. AMBITO A'!M$4&gt;$F73,$F73*(0.03+10/POWER($F73,0.4))*'SPESE TEC. AMBITO A'!M$9*S73*IF('SPESE TEC. AMBITO A'!$Q$71="X",1,0),'SPESE TEC. AMBITO A'!M$4*'SPESE TEC. AMBITO A'!M$7*'SPESE TEC. AMBITO A'!M$9*S73*1)*IF('SPESE TEC. AMBITO A'!$Q$71="X",1,0)</f>
        <v>0</v>
      </c>
      <c r="U73" s="31"/>
      <c r="V73" s="32">
        <f>IF('SPESE TEC. AMBITO A'!N$4&gt;$F73,$F73*(0.03+10/POWER($F73,0.4))*'SPESE TEC. AMBITO A'!N$9*U73*IF('SPESE TEC. AMBITO A'!$T$71="X",1,0),'SPESE TEC. AMBITO A'!N$4*'SPESE TEC. AMBITO A'!N$7*'SPESE TEC. AMBITO A'!N$9*U73*1)*IF('SPESE TEC. AMBITO A'!$T$71="X",1,0)</f>
        <v>0</v>
      </c>
      <c r="W73"/>
    </row>
    <row r="74" spans="1:23" s="1" customFormat="1" ht="22.5">
      <c r="A74" s="359"/>
      <c r="B74" s="359"/>
      <c r="C74" s="196" t="s">
        <v>167</v>
      </c>
      <c r="D74" s="401"/>
      <c r="E74" s="196" t="s">
        <v>84</v>
      </c>
      <c r="F74" s="288">
        <v>20000000</v>
      </c>
      <c r="G74" s="29">
        <v>4.4999999999999998E-2</v>
      </c>
      <c r="H74" s="32">
        <f>IF('SPESE TEC. AMBITO A'!G$4&gt;$F74,($F74-$F73)*(0.03+10/POWER(($F74-$F73),0.4))*'SPESE TEC. AMBITO A'!G$9*'SPESE TEC. AMBITO A'!G$11*G74*IF('SPESE TEC. AMBITO A'!$E$71="X",1,0),IF(('SPESE TEC. AMBITO A'!G$4-$F73)&gt;0,('SPESE TEC. AMBITO A'!G$4-$F73)*(0.03+10/POWER(('SPESE TEC. AMBITO A'!G$4-$F73),0.4))*'SPESE TEC. AMBITO A'!G$9*'SPESE TEC. AMBITO A'!G$11*G74,0)*IF('SPESE TEC. AMBITO A'!$E$71="X",1,0))</f>
        <v>0</v>
      </c>
      <c r="I74" s="29">
        <v>0.06</v>
      </c>
      <c r="J74" s="32">
        <f>IF('SPESE TEC. AMBITO A'!H$4&gt;$F74,($F74-$F73)*(0.03+10/POWER(($F74-$F73),0.4))*'SPESE TEC. AMBITO A'!H$9*'SPESE TEC. AMBITO A'!H$11*I74*IF('SPESE TEC. AMBITO A'!$H$71="X",1,0),IF(('SPESE TEC. AMBITO A'!H$4-$F73)&gt;0,('SPESE TEC. AMBITO A'!H$4-$F73)*(0.03+10/POWER(('SPESE TEC. AMBITO A'!H$4-$F73),0.4))*'SPESE TEC. AMBITO A'!H$9*'SPESE TEC. AMBITO A'!H$11*I74,0)*IF('SPESE TEC. AMBITO A'!$H$71="X",1,0))</f>
        <v>0</v>
      </c>
      <c r="K74" s="29">
        <v>4.4999999999999998E-2</v>
      </c>
      <c r="L74" s="32">
        <f>IF('SPESE TEC. AMBITO A'!I$4&gt;$F74,($F74-$F73)*(0.03+10/POWER(($F74-$F73),0.4))*'SPESE TEC. AMBITO A'!I$9*'SPESE TEC. AMBITO A'!I$11*K74*IF('SPESE TEC. AMBITO A'!$K$71="X",1,0),IF(('SPESE TEC. AMBITO A'!I$4-$F73)&gt;0,('SPESE TEC. AMBITO A'!I$4-$F73)*(0.03+10/POWER(('SPESE TEC. AMBITO A'!I$4-$F73),0.4))*'SPESE TEC. AMBITO A'!I$9*'SPESE TEC. AMBITO A'!I$11*K74*1,0)*IF('SPESE TEC. AMBITO A'!$K$71="X",1,0))</f>
        <v>0</v>
      </c>
      <c r="M74" s="29">
        <v>0.06</v>
      </c>
      <c r="N74" s="32">
        <f>IF('SPESE TEC. AMBITO A'!J$4&gt;$F74,($F74-$F73)*(0.03+10/POWER(($F74-$F73),0.4))*'SPESE TEC. AMBITO A'!J$9*M74*IF('SPESE TEC. AMBITO A'!$N$71="X",1,0),IF(('SPESE TEC. AMBITO A'!J$4-$F73)&gt;0,('SPESE TEC. AMBITO A'!J$4-$F73)*(0.03+10/POWER(('SPESE TEC. AMBITO A'!J$4-$F73),0.4))*'SPESE TEC. AMBITO A'!J$9*M74*1,0)*IF('SPESE TEC. AMBITO A'!$N$71="X",1,0))</f>
        <v>0</v>
      </c>
      <c r="O74" s="29">
        <v>0.06</v>
      </c>
      <c r="P74" s="31"/>
      <c r="Q74" s="29">
        <v>4.4999999999999998E-2</v>
      </c>
      <c r="R74" s="31"/>
      <c r="S74" s="29">
        <v>0.06</v>
      </c>
      <c r="T74" s="32">
        <f>IF('SPESE TEC. AMBITO A'!M$4&gt;$F74,($F74-$F73)*(0.03+10/POWER(($F74-$F73),0.4))*'SPESE TEC. AMBITO A'!M$9*S74*IF('SPESE TEC. AMBITO A'!$Q$71="X",1,0),IF(('SPESE TEC. AMBITO A'!M$4-$F73)&gt;0,('SPESE TEC. AMBITO A'!M$4-$F73)*(0.03+10/POWER(('SPESE TEC. AMBITO A'!M$4-$F73),0.4))*'SPESE TEC. AMBITO A'!M$9*S74*1,0)*IF('SPESE TEC. AMBITO A'!$Q$71="X",1,0))</f>
        <v>0</v>
      </c>
      <c r="U74" s="31"/>
      <c r="V74" s="32">
        <f>IF('SPESE TEC. AMBITO A'!N$4&gt;$F74,($F74-$F73)*(0.03+10/POWER(($F74-$F73),0.4))*'SPESE TEC. AMBITO A'!N$9*U74*IF('SPESE TEC. AMBITO A'!$T$71="X",1,0),IF(('SPESE TEC. AMBITO A'!N$4-$F73)&gt;0,('SPESE TEC. AMBITO A'!N$4-$F73)*(0.03+10/POWER(('SPESE TEC. AMBITO A'!N$4-$F73),0.4))*'SPESE TEC. AMBITO A'!N$9*U74*1,0)*IF('SPESE TEC. AMBITO A'!$T$71="X",1,0))</f>
        <v>0</v>
      </c>
      <c r="W74"/>
    </row>
    <row r="75" spans="1:23" s="1" customFormat="1" ht="22.5">
      <c r="A75" s="359"/>
      <c r="B75" s="359"/>
      <c r="C75" s="196" t="s">
        <v>167</v>
      </c>
      <c r="D75" s="401"/>
      <c r="E75" s="196" t="s">
        <v>63</v>
      </c>
      <c r="F75" s="286"/>
      <c r="G75" s="29">
        <v>1.4999999999999999E-2</v>
      </c>
      <c r="H75" s="32">
        <f>IF('SPESE TEC. AMBITO A'!G$4&gt;$F74,('SPESE TEC. AMBITO A'!G$4-$F74)*(0.03+10/POWER(('SPESE TEC. AMBITO A'!G$4-$F74),0.4))*'SPESE TEC. AMBITO A'!G$9*'SPESE TEC. AMBITO A'!G$11*G75*IF('SPESE TEC. AMBITO A'!$E$71="X",1,0),0)*IF('SPESE TEC. AMBITO A'!$E$71="X",1,0)</f>
        <v>0</v>
      </c>
      <c r="I75" s="29">
        <v>2.5000000000000001E-2</v>
      </c>
      <c r="J75" s="32">
        <f>IF('SPESE TEC. AMBITO A'!H$4&gt;$F74,('SPESE TEC. AMBITO A'!H$4-$F74)*(0.03+10/POWER(('SPESE TEC. AMBITO A'!H$4-$F74),0.4))*'SPESE TEC. AMBITO A'!H$9*'SPESE TEC. AMBITO A'!H$11*I75*IF('SPESE TEC. AMBITO A'!$H$71="X",1,0),0)*IF('SPESE TEC. AMBITO A'!$H$71="X",1,0)</f>
        <v>0</v>
      </c>
      <c r="K75" s="29">
        <v>1.4999999999999999E-2</v>
      </c>
      <c r="L75" s="32">
        <f>IF('SPESE TEC. AMBITO A'!I$4&gt;$F74,('SPESE TEC. AMBITO A'!I$4-$F74)*(0.03+10/POWER(('SPESE TEC. AMBITO A'!I$4-$F74),0.4))*'SPESE TEC. AMBITO A'!I$9*'SPESE TEC. AMBITO A'!I$11*K75*1*IF('SPESE TEC. AMBITO A'!$K$71="X",1,0),0)*IF('SPESE TEC. AMBITO A'!$K$71="X",1,0)</f>
        <v>0</v>
      </c>
      <c r="M75" s="29">
        <v>2.5000000000000001E-2</v>
      </c>
      <c r="N75" s="32">
        <f>IF('SPESE TEC. AMBITO A'!J$4&gt;$F74,('SPESE TEC. AMBITO A'!J$4-$F74)*(0.03+10/POWER(('SPESE TEC. AMBITO A'!J$4-$F74),0.4))*'SPESE TEC. AMBITO A'!J$9*M75*1*IF('SPESE TEC. AMBITO A'!$N$71="X",1,0),0)*IF('SPESE TEC. AMBITO A'!$N$71="X",1,0)</f>
        <v>0</v>
      </c>
      <c r="O75" s="29">
        <v>2.5000000000000001E-2</v>
      </c>
      <c r="P75" s="31"/>
      <c r="Q75" s="29">
        <v>1.4999999999999999E-2</v>
      </c>
      <c r="R75" s="31"/>
      <c r="S75" s="29">
        <v>2.5000000000000001E-2</v>
      </c>
      <c r="T75" s="32">
        <f>IF('SPESE TEC. AMBITO A'!M$4&gt;$F74,('SPESE TEC. AMBITO A'!M$4-$F74)*(0.03+10/POWER(('SPESE TEC. AMBITO A'!M$4-$F74),0.4))*'SPESE TEC. AMBITO A'!M$9*S75*1*IF('SPESE TEC. AMBITO A'!$Q$71="X",1,0),0)*IF('SPESE TEC. AMBITO A'!$Q$71="X",1,0)</f>
        <v>0</v>
      </c>
      <c r="U75" s="31"/>
      <c r="V75" s="32">
        <f>IF('SPESE TEC. AMBITO A'!N$4&gt;$F74,('SPESE TEC. AMBITO A'!N$4-$F74)*(0.03+10/POWER(('SPESE TEC. AMBITO A'!N$4-$F74),0.4))*'SPESE TEC. AMBITO A'!N$9*U75*1*IF('SPESE TEC. AMBITO A'!$T$71="X",1,0),0)*IF('SPESE TEC. AMBITO A'!$T$71="X",1,0)</f>
        <v>0</v>
      </c>
      <c r="W75"/>
    </row>
    <row r="76" spans="1:23" s="1" customFormat="1" ht="15" customHeight="1">
      <c r="A76" s="359"/>
      <c r="B76" s="359"/>
      <c r="C76" s="196" t="s">
        <v>168</v>
      </c>
      <c r="D76" s="401" t="s">
        <v>122</v>
      </c>
      <c r="E76" s="196" t="s">
        <v>62</v>
      </c>
      <c r="F76" s="288">
        <v>5000000</v>
      </c>
      <c r="G76" s="29">
        <v>1.7999999999999999E-2</v>
      </c>
      <c r="H76" s="32">
        <f>IF('SPESE TEC. AMBITO A'!G$4&gt;$F76,$F76*(0.03+10/POWER($F76,0.4))*'SPESE TEC. AMBITO A'!G$9*'SPESE TEC. AMBITO A'!G$11*G76*IF('SPESE TEC. AMBITO A'!$E$72="X",1,0),'SPESE TEC. AMBITO A'!G$4*'SPESE TEC. AMBITO A'!G$7*'SPESE TEC. AMBITO A'!G$9*'SPESE TEC. AMBITO A'!G$11*G76)*IF('SPESE TEC. AMBITO A'!$E$72="X",1,0)</f>
        <v>0</v>
      </c>
      <c r="I76" s="29">
        <v>0.02</v>
      </c>
      <c r="J76" s="32">
        <f>IF('SPESE TEC. AMBITO A'!H$4&gt;$F76,$F76*(0.03+10/POWER($F76,0.4))*'SPESE TEC. AMBITO A'!H$9*'SPESE TEC. AMBITO A'!H$11*I76*IF('SPESE TEC. AMBITO A'!$H$72="X",1,0),'SPESE TEC. AMBITO A'!H$4*'SPESE TEC. AMBITO A'!H$7*'SPESE TEC. AMBITO A'!H$9*'SPESE TEC. AMBITO A'!H$11*I76)*IF('SPESE TEC. AMBITO A'!$H$72="X",1,0)</f>
        <v>0</v>
      </c>
      <c r="K76" s="29">
        <v>1.7999999999999999E-2</v>
      </c>
      <c r="L76" s="32">
        <f>IF('SPESE TEC. AMBITO A'!I$4&gt;$F76,$F76*(0.03+10/POWER($F76,0.4))*'SPESE TEC. AMBITO A'!I$9*'SPESE TEC. AMBITO A'!I$11*K76*IF('SPESE TEC. AMBITO A'!$K$72="X",1,0),'SPESE TEC. AMBITO A'!I$4*'SPESE TEC. AMBITO A'!I$7*'SPESE TEC. AMBITO A'!I$9*'SPESE TEC. AMBITO A'!I$11*K76*1)*IF('SPESE TEC. AMBITO A'!$K$72="X",1,0)</f>
        <v>0</v>
      </c>
      <c r="M76" s="29">
        <v>0.02</v>
      </c>
      <c r="N76" s="32">
        <f>IF('SPESE TEC. AMBITO A'!J$4&gt;$F76,$F76*(0.03+10/POWER($F76,0.4))*'SPESE TEC. AMBITO A'!J$9*M76*IF('SPESE TEC. AMBITO A'!$N$72="X",1,0),'SPESE TEC. AMBITO A'!J$4*'SPESE TEC. AMBITO A'!J$7*'SPESE TEC. AMBITO A'!J$9*M76*1)*IF('SPESE TEC. AMBITO A'!$N$72="X",1,0)</f>
        <v>0</v>
      </c>
      <c r="O76" s="29">
        <v>0.02</v>
      </c>
      <c r="P76" s="31"/>
      <c r="Q76" s="29">
        <v>1.7999999999999999E-2</v>
      </c>
      <c r="R76" s="31"/>
      <c r="S76" s="29">
        <v>0.02</v>
      </c>
      <c r="T76" s="32">
        <f>IF('SPESE TEC. AMBITO A'!M$4&gt;$F76,$F76*(0.03+10/POWER($F76,0.4))*'SPESE TEC. AMBITO A'!M$9*S76*IF('SPESE TEC. AMBITO A'!$Q$72="X",1,0),'SPESE TEC. AMBITO A'!M$4*'SPESE TEC. AMBITO A'!M$7*'SPESE TEC. AMBITO A'!M$9*S76*1)*IF('SPESE TEC. AMBITO A'!$Q$72="X",1,0)</f>
        <v>0</v>
      </c>
      <c r="U76" s="31"/>
      <c r="V76" s="32">
        <f>IF('SPESE TEC. AMBITO A'!N$4&gt;$F76,$F76*(0.03+10/POWER($F76,0.4))*'SPESE TEC. AMBITO A'!N$9*U76*IF('SPESE TEC. AMBITO A'!$T$72="X",1,0),'SPESE TEC. AMBITO A'!N$4*'SPESE TEC. AMBITO A'!N$7*'SPESE TEC. AMBITO A'!N$9*U76*1)*IF('SPESE TEC. AMBITO A'!$T$72="X",1,0)</f>
        <v>0</v>
      </c>
      <c r="W76"/>
    </row>
    <row r="77" spans="1:23" s="1" customFormat="1" ht="22.5">
      <c r="A77" s="359"/>
      <c r="B77" s="359"/>
      <c r="C77" s="196" t="s">
        <v>168</v>
      </c>
      <c r="D77" s="401"/>
      <c r="E77" s="196" t="s">
        <v>84</v>
      </c>
      <c r="F77" s="288">
        <v>20000000</v>
      </c>
      <c r="G77" s="29">
        <v>8.0000000000000002E-3</v>
      </c>
      <c r="H77" s="32">
        <f>IF('SPESE TEC. AMBITO A'!G$4&gt;$F77,($F77-$F76)*(0.03+10/POWER(($F77-$F76),0.4))*'SPESE TEC. AMBITO A'!G$9*'SPESE TEC. AMBITO A'!G$11*G77*IF('SPESE TEC. AMBITO A'!$E$72="X",1,0),IF(('SPESE TEC. AMBITO A'!G$4-$F76)&gt;0,('SPESE TEC. AMBITO A'!G$4-$F76)*(0.03+10/POWER(('SPESE TEC. AMBITO A'!G$4-$F76),0.4))*'SPESE TEC. AMBITO A'!G$9*'SPESE TEC. AMBITO A'!G$11*G77,0)*IF('SPESE TEC. AMBITO A'!$E$72="X",1,0))</f>
        <v>0</v>
      </c>
      <c r="I77" s="29">
        <v>0.01</v>
      </c>
      <c r="J77" s="32">
        <f>IF('SPESE TEC. AMBITO A'!H$4&gt;$F77,($F77-$F76)*(0.03+10/POWER(($F77-$F76),0.4))*'SPESE TEC. AMBITO A'!H$9*'SPESE TEC. AMBITO A'!H$11*I77*IF('SPESE TEC. AMBITO A'!$H$72="X",1,0),IF(('SPESE TEC. AMBITO A'!H$4-$F76)&gt;0,('SPESE TEC. AMBITO A'!H$4-$F76)*(0.03+10/POWER(('SPESE TEC. AMBITO A'!H$4-$F76),0.4))*'SPESE TEC. AMBITO A'!H$9*'SPESE TEC. AMBITO A'!H$11*I77,0)*IF('SPESE TEC. AMBITO A'!$H$72="X",1,0))</f>
        <v>0</v>
      </c>
      <c r="K77" s="29">
        <v>8.0000000000000002E-3</v>
      </c>
      <c r="L77" s="32">
        <f>IF('SPESE TEC. AMBITO A'!I$4&gt;$F77,($F77-$F76)*(0.03+10/POWER(($F77-$F76),0.4))*'SPESE TEC. AMBITO A'!I$9*'SPESE TEC. AMBITO A'!I$11*K77*IF('SPESE TEC. AMBITO A'!$K$72="X",1,0),IF(('SPESE TEC. AMBITO A'!I$4-$F76)&gt;0,('SPESE TEC. AMBITO A'!I$4-$F76)*(0.03+10/POWER(('SPESE TEC. AMBITO A'!I$4-$F76),0.4))*'SPESE TEC. AMBITO A'!I$9*'SPESE TEC. AMBITO A'!I$11*K77*1,0)*IF('SPESE TEC. AMBITO A'!$K$72="X",1,0))</f>
        <v>0</v>
      </c>
      <c r="M77" s="29">
        <v>0.01</v>
      </c>
      <c r="N77" s="32">
        <f>IF('SPESE TEC. AMBITO A'!J$4&gt;$F77,($F77-$F76)*(0.03+10/POWER(($F77-$F76),0.4))*'SPESE TEC. AMBITO A'!J$9*M77*IF('SPESE TEC. AMBITO A'!$N$72="X",1,0),IF(('SPESE TEC. AMBITO A'!J$4-$F76)&gt;0,('SPESE TEC. AMBITO A'!J$4-$F76)*(0.03+10/POWER(('SPESE TEC. AMBITO A'!J$4-$F76),0.4))*'SPESE TEC. AMBITO A'!J$9*M77*1,0)*IF('SPESE TEC. AMBITO A'!$N$72="X",1,0))</f>
        <v>0</v>
      </c>
      <c r="O77" s="29">
        <v>0.01</v>
      </c>
      <c r="P77" s="31"/>
      <c r="Q77" s="29">
        <v>8.0000000000000002E-3</v>
      </c>
      <c r="R77" s="31"/>
      <c r="S77" s="29">
        <v>0.01</v>
      </c>
      <c r="T77" s="32">
        <f>IF('SPESE TEC. AMBITO A'!M$4&gt;$F77,($F77-$F76)*(0.03+10/POWER(($F77-$F76),0.4))*'SPESE TEC. AMBITO A'!M$9*S77*IF('SPESE TEC. AMBITO A'!$Q$72="X",1,0),IF(('SPESE TEC. AMBITO A'!M$4-$F76)&gt;0,('SPESE TEC. AMBITO A'!M$4-$F76)*(0.03+10/POWER(('SPESE TEC. AMBITO A'!M$4-$F76),0.4))*'SPESE TEC. AMBITO A'!M$9*S77*1,0)*IF('SPESE TEC. AMBITO A'!$Q$72="X",1,0))</f>
        <v>0</v>
      </c>
      <c r="U77" s="31"/>
      <c r="V77" s="32">
        <f>IF('SPESE TEC. AMBITO A'!N$4&gt;$F77,($F77-$F76)*(0.03+10/POWER(($F77-$F76),0.4))*'SPESE TEC. AMBITO A'!N$9*U77*IF('SPESE TEC. AMBITO A'!$T$72="X",1,0),IF(('SPESE TEC. AMBITO A'!N$4-$F76)&gt;0,('SPESE TEC. AMBITO A'!N$4-$F76)*(0.03+10/POWER(('SPESE TEC. AMBITO A'!N$4-$F76),0.4))*'SPESE TEC. AMBITO A'!N$9*U77*1,0)*IF('SPESE TEC. AMBITO A'!$T$72="X",1,0))</f>
        <v>0</v>
      </c>
      <c r="W77"/>
    </row>
    <row r="78" spans="1:23" s="1" customFormat="1" ht="22.5">
      <c r="A78" s="359"/>
      <c r="B78" s="359"/>
      <c r="C78" s="196" t="s">
        <v>168</v>
      </c>
      <c r="D78" s="401"/>
      <c r="E78" s="196" t="s">
        <v>63</v>
      </c>
      <c r="F78" s="286"/>
      <c r="G78" s="29">
        <v>4.0000000000000001E-3</v>
      </c>
      <c r="H78" s="32">
        <f>IF('SPESE TEC. AMBITO A'!G$4&gt;$F77,('SPESE TEC. AMBITO A'!G$4-$F77)*(0.03+10/POWER(('SPESE TEC. AMBITO A'!G$4-$F77),0.4))*'SPESE TEC. AMBITO A'!G$9*'SPESE TEC. AMBITO A'!G$11*G78*IF('SPESE TEC. AMBITO A'!$E$72="X",1,0),0)*IF('SPESE TEC. AMBITO A'!$E$72="X",1,0)</f>
        <v>0</v>
      </c>
      <c r="I78" s="29">
        <v>5.0000000000000001E-3</v>
      </c>
      <c r="J78" s="32">
        <f>IF('SPESE TEC. AMBITO A'!H$4&gt;$F77,('SPESE TEC. AMBITO A'!H$4-$F77)*(0.03+10/POWER(('SPESE TEC. AMBITO A'!H$4-$F77),0.4))*'SPESE TEC. AMBITO A'!H$9*'SPESE TEC. AMBITO A'!H$11*I78*IF('SPESE TEC. AMBITO A'!$H$72="X",1,0),0)*IF('SPESE TEC. AMBITO A'!$H$72="X",1,0)</f>
        <v>0</v>
      </c>
      <c r="K78" s="29">
        <v>4.0000000000000001E-3</v>
      </c>
      <c r="L78" s="32">
        <f>IF('SPESE TEC. AMBITO A'!I$4&gt;$F77,('SPESE TEC. AMBITO A'!I$4-$F77)*(0.03+10/POWER(('SPESE TEC. AMBITO A'!I$4-$F77),0.4))*'SPESE TEC. AMBITO A'!I$9*'SPESE TEC. AMBITO A'!I$11*K78*1*IF('SPESE TEC. AMBITO A'!$K$72="X",1,0),0)*IF('SPESE TEC. AMBITO A'!$K$72="X",1,0)</f>
        <v>0</v>
      </c>
      <c r="M78" s="29">
        <v>5.0000000000000001E-3</v>
      </c>
      <c r="N78" s="32">
        <f>IF('SPESE TEC. AMBITO A'!J$4&gt;$F77,('SPESE TEC. AMBITO A'!J$4-$F77)*(0.03+10/POWER(('SPESE TEC. AMBITO A'!J$4-$F77),0.4))*'SPESE TEC. AMBITO A'!J$9*M78*1*IF('SPESE TEC. AMBITO A'!$N$72="X",1,0),0)*IF('SPESE TEC. AMBITO A'!$N$72="X",1,0)</f>
        <v>0</v>
      </c>
      <c r="O78" s="29">
        <v>5.0000000000000001E-3</v>
      </c>
      <c r="P78" s="31"/>
      <c r="Q78" s="29">
        <v>4.0000000000000001E-3</v>
      </c>
      <c r="R78" s="31"/>
      <c r="S78" s="29">
        <v>5.0000000000000001E-3</v>
      </c>
      <c r="T78" s="32">
        <f>IF('SPESE TEC. AMBITO A'!M$4&gt;$F77,('SPESE TEC. AMBITO A'!M$4-$F77)*(0.03+10/POWER(('SPESE TEC. AMBITO A'!M$4-$F77),0.4))*'SPESE TEC. AMBITO A'!M$9*S78*1*IF('SPESE TEC. AMBITO A'!$Q$72="X",1,0),0)*IF('SPESE TEC. AMBITO A'!$Q$72="X",1,0)</f>
        <v>0</v>
      </c>
      <c r="U78" s="31"/>
      <c r="V78" s="32">
        <f>IF('SPESE TEC. AMBITO A'!N$4&gt;$F77,('SPESE TEC. AMBITO A'!N$4-$F77)*(0.03+10/POWER(('SPESE TEC. AMBITO A'!N$4-$F77),0.4))*'SPESE TEC. AMBITO A'!N$9*U78*1*IF('SPESE TEC. AMBITO A'!$T$72="X",1,0),0)*IF('SPESE TEC. AMBITO A'!$T$72="X",1,0)</f>
        <v>0</v>
      </c>
      <c r="W78"/>
    </row>
    <row r="79" spans="1:23" s="1" customFormat="1" ht="15" customHeight="1">
      <c r="A79" s="359"/>
      <c r="B79" s="359"/>
      <c r="C79" s="196" t="s">
        <v>169</v>
      </c>
      <c r="D79" s="401" t="s">
        <v>170</v>
      </c>
      <c r="E79" s="401"/>
      <c r="F79" s="401"/>
      <c r="G79" s="29">
        <v>0.01</v>
      </c>
      <c r="H79" s="32">
        <f>IF('SPESE TEC. AMBITO A'!$E73="X",1,0)*'SPESE TEC. AMBITO A'!G$4*'SPESE TEC. AMBITO A'!G$7*'SPESE TEC. AMBITO A'!G$9*'SPESE TEC. AMBITO A'!G$11*G79</f>
        <v>0</v>
      </c>
      <c r="I79" s="29">
        <v>0.01</v>
      </c>
      <c r="J79" s="32">
        <f>IF('SPESE TEC. AMBITO A'!$H73="X",1,0)*'SPESE TEC. AMBITO A'!H$4*'SPESE TEC. AMBITO A'!H$7*'SPESE TEC. AMBITO A'!H$9*'SPESE TEC. AMBITO A'!H$11*I79</f>
        <v>0</v>
      </c>
      <c r="K79" s="29">
        <v>0.01</v>
      </c>
      <c r="L79" s="32">
        <f>IF('SPESE TEC. AMBITO A'!$K73="X",1,0)*'SPESE TEC. AMBITO A'!I$4*'SPESE TEC. AMBITO A'!I$7*'SPESE TEC. AMBITO A'!I$9*'SPESE TEC. AMBITO A'!I$11*K79*1</f>
        <v>0</v>
      </c>
      <c r="M79" s="29">
        <v>0.01</v>
      </c>
      <c r="N79" s="32">
        <f>IF('SPESE TEC. AMBITO A'!$N73="X",1,0)*'SPESE TEC. AMBITO A'!J$4*'SPESE TEC. AMBITO A'!J$7*'SPESE TEC. AMBITO A'!J$9*'SPESE TEC. AMBITO A'!J$11*M79*1</f>
        <v>0</v>
      </c>
      <c r="O79" s="29">
        <v>0.01</v>
      </c>
      <c r="P79" s="31"/>
      <c r="Q79" s="29">
        <v>0.01</v>
      </c>
      <c r="R79" s="31"/>
      <c r="S79" s="29">
        <v>0.01</v>
      </c>
      <c r="T79" s="32">
        <f>IF('SPESE TEC. AMBITO A'!$Q73="X",1,0)*'SPESE TEC. AMBITO A'!M$4*'SPESE TEC. AMBITO A'!M$7*'SPESE TEC. AMBITO A'!M$9*'SPESE TEC. AMBITO A'!M$11*S79*1</f>
        <v>0</v>
      </c>
      <c r="U79" s="31"/>
      <c r="V79" s="32">
        <f>IF('SPESE TEC. AMBITO A'!$T73="X",1,0)*'SPESE TEC. AMBITO A'!N$4*'SPESE TEC. AMBITO A'!N$7*'SPESE TEC. AMBITO A'!N$9*'SPESE TEC. AMBITO A'!N$11*U79*1</f>
        <v>0</v>
      </c>
      <c r="W79"/>
    </row>
    <row r="80" spans="1:23" s="1" customFormat="1" ht="15" customHeight="1">
      <c r="A80" s="359"/>
      <c r="B80" s="359"/>
      <c r="C80" s="196" t="s">
        <v>171</v>
      </c>
      <c r="D80" s="401" t="s">
        <v>172</v>
      </c>
      <c r="E80" s="401"/>
      <c r="F80" s="401"/>
      <c r="G80" s="29">
        <v>0.13</v>
      </c>
      <c r="H80" s="32">
        <f>IF('SPESE TEC. AMBITO A'!$E74="X",1,0)*'SPESE TEC. AMBITO A'!G$4*'SPESE TEC. AMBITO A'!G$7*'SPESE TEC. AMBITO A'!G$9*'SPESE TEC. AMBITO A'!G$11*G80</f>
        <v>0</v>
      </c>
      <c r="I80" s="29">
        <v>0.13</v>
      </c>
      <c r="J80" s="32">
        <f>IF('SPESE TEC. AMBITO A'!$H74="X",1,0)*'SPESE TEC. AMBITO A'!H$4*'SPESE TEC. AMBITO A'!H$7*'SPESE TEC. AMBITO A'!H$9*'SPESE TEC. AMBITO A'!H$11*I80</f>
        <v>0</v>
      </c>
      <c r="K80" s="29">
        <v>0.13</v>
      </c>
      <c r="L80" s="32">
        <f>IF('SPESE TEC. AMBITO A'!$K74="X",1,0)*'SPESE TEC. AMBITO A'!I$4*'SPESE TEC. AMBITO A'!I$7*'SPESE TEC. AMBITO A'!I$9*'SPESE TEC. AMBITO A'!I$11*K80*1</f>
        <v>0</v>
      </c>
      <c r="M80" s="29">
        <v>0.13</v>
      </c>
      <c r="N80" s="32">
        <f>IF('SPESE TEC. AMBITO A'!$N74="X",1,0)*'SPESE TEC. AMBITO A'!J$4*'SPESE TEC. AMBITO A'!J$7*'SPESE TEC. AMBITO A'!J$9*'SPESE TEC. AMBITO A'!J$11*M80*1</f>
        <v>0</v>
      </c>
      <c r="O80" s="29">
        <v>0.13</v>
      </c>
      <c r="P80" s="31"/>
      <c r="Q80" s="29">
        <v>0.13</v>
      </c>
      <c r="R80" s="31"/>
      <c r="S80" s="29">
        <v>0.13</v>
      </c>
      <c r="T80" s="32">
        <f>IF('SPESE TEC. AMBITO A'!$Q74="X",1,0)*'SPESE TEC. AMBITO A'!M$4*'SPESE TEC. AMBITO A'!M$7*'SPESE TEC. AMBITO A'!M$9*'SPESE TEC. AMBITO A'!M$11*S80*1</f>
        <v>0</v>
      </c>
      <c r="U80" s="31"/>
      <c r="V80" s="32">
        <f>IF('SPESE TEC. AMBITO A'!$T74="X",1,0)*'SPESE TEC. AMBITO A'!N$4*'SPESE TEC. AMBITO A'!N$7*'SPESE TEC. AMBITO A'!N$9*'SPESE TEC. AMBITO A'!N$11*U80*1</f>
        <v>0</v>
      </c>
      <c r="W80"/>
    </row>
    <row r="81" spans="1:23" s="1" customFormat="1" ht="15" customHeight="1">
      <c r="A81" s="359" t="s">
        <v>90</v>
      </c>
      <c r="B81" s="359" t="s">
        <v>173</v>
      </c>
      <c r="C81" s="196" t="s">
        <v>174</v>
      </c>
      <c r="D81" s="401" t="s">
        <v>175</v>
      </c>
      <c r="E81" s="401"/>
      <c r="F81" s="401"/>
      <c r="G81" s="29">
        <v>7.0000000000000007E-2</v>
      </c>
      <c r="H81" s="32">
        <f>IF('SPESE TEC. AMBITO A'!$E75="X",1,0)*'SPESE TEC. AMBITO A'!G$4*'SPESE TEC. AMBITO A'!G$7*'SPESE TEC. AMBITO A'!G$9*'SPESE TEC. AMBITO A'!G$11*G81</f>
        <v>984.91901139164463</v>
      </c>
      <c r="I81" s="29">
        <v>0.12</v>
      </c>
      <c r="J81" s="32">
        <f>IF('SPESE TEC. AMBITO A'!$H75="X",1,0)*'SPESE TEC. AMBITO A'!H$4*'SPESE TEC. AMBITO A'!H$7*'SPESE TEC. AMBITO A'!H$9*'SPESE TEC. AMBITO A'!H$11*I81</f>
        <v>0</v>
      </c>
      <c r="K81" s="33">
        <v>0.15</v>
      </c>
      <c r="L81" s="32">
        <f>IF('SPESE TEC. AMBITO A'!$K75="X",1,0)*'SPESE TEC. AMBITO A'!I$4*'SPESE TEC. AMBITO A'!I$7*'SPESE TEC. AMBITO A'!I$9*'SPESE TEC. AMBITO A'!I$11*K81*1</f>
        <v>0</v>
      </c>
      <c r="M81" s="29">
        <v>0.04</v>
      </c>
      <c r="N81" s="32">
        <f>IF('SPESE TEC. AMBITO A'!$N75="X",1,0)*'SPESE TEC. AMBITO A'!J$4*'SPESE TEC. AMBITO A'!J$7*'SPESE TEC. AMBITO A'!J$9*'SPESE TEC. AMBITO A'!J$11*M81*1</f>
        <v>0</v>
      </c>
      <c r="O81" s="29">
        <v>0.11</v>
      </c>
      <c r="P81" s="31"/>
      <c r="Q81" s="29">
        <v>0.05</v>
      </c>
      <c r="R81" s="31"/>
      <c r="S81" s="29">
        <v>0.04</v>
      </c>
      <c r="T81" s="182">
        <f>IF('SPESE TEC. AMBITO A'!$Q75="X",1,0)*'SPESE TEC. AMBITO A'!M$4*'SPESE TEC. AMBITO A'!M$7*'SPESE TEC. AMBITO A'!M$9*'SPESE TEC. AMBITO A'!M$11*S81*1*IF('SPESE TEC. AMBITO A'!G$4&lt;5000,1/0.65,1)</f>
        <v>0</v>
      </c>
      <c r="U81" s="31"/>
      <c r="V81" s="32">
        <f>IF('SPESE TEC. AMBITO A'!$T75="X",1,0)*'SPESE TEC. AMBITO A'!N$4*'SPESE TEC. AMBITO A'!N$7*'SPESE TEC. AMBITO A'!N$9*'SPESE TEC. AMBITO A'!N$11*U81*1</f>
        <v>0</v>
      </c>
      <c r="W81"/>
    </row>
    <row r="82" spans="1:23" s="1" customFormat="1" ht="15" customHeight="1">
      <c r="A82" s="359"/>
      <c r="B82" s="359"/>
      <c r="C82" s="196" t="s">
        <v>176</v>
      </c>
      <c r="D82" s="401" t="s">
        <v>177</v>
      </c>
      <c r="E82" s="401"/>
      <c r="F82" s="401"/>
      <c r="G82" s="29">
        <v>0.13</v>
      </c>
      <c r="H82" s="32">
        <f>IF('SPESE TEC. AMBITO A'!$E76="X",1,0)*'SPESE TEC. AMBITO A'!G$4*'SPESE TEC. AMBITO A'!G$7*'SPESE TEC. AMBITO A'!G$9*'SPESE TEC. AMBITO A'!G$11*G82</f>
        <v>1829.1353068701969</v>
      </c>
      <c r="I82" s="29">
        <v>0.13</v>
      </c>
      <c r="J82" s="32">
        <f>IF('SPESE TEC. AMBITO A'!$H76="X",1,0)*'SPESE TEC. AMBITO A'!H$4*'SPESE TEC. AMBITO A'!H$7*'SPESE TEC. AMBITO A'!H$9*'SPESE TEC. AMBITO A'!H$11*I82</f>
        <v>0</v>
      </c>
      <c r="K82" s="29">
        <v>0.05</v>
      </c>
      <c r="L82" s="32">
        <f>IF('SPESE TEC. AMBITO A'!$K76="X",1,0)*'SPESE TEC. AMBITO A'!I$4*'SPESE TEC. AMBITO A'!I$7*'SPESE TEC. AMBITO A'!I$9*'SPESE TEC. AMBITO A'!I$11*K82*1</f>
        <v>0</v>
      </c>
      <c r="M82" s="29">
        <v>0.08</v>
      </c>
      <c r="N82" s="32">
        <f>IF('SPESE TEC. AMBITO A'!$N76="X",1,0)*'SPESE TEC. AMBITO A'!J$4*'SPESE TEC. AMBITO A'!J$7*'SPESE TEC. AMBITO A'!J$9*'SPESE TEC. AMBITO A'!J$11*M82*1</f>
        <v>0</v>
      </c>
      <c r="O82" s="29">
        <v>0.05</v>
      </c>
      <c r="P82" s="31"/>
      <c r="Q82" s="29">
        <v>0.1</v>
      </c>
      <c r="R82" s="31"/>
      <c r="S82" s="29">
        <v>0.08</v>
      </c>
      <c r="T82" s="182">
        <f>IF('SPESE TEC. AMBITO A'!$Q76="X",1,0)*'SPESE TEC. AMBITO A'!M$4*'SPESE TEC. AMBITO A'!M$7*'SPESE TEC. AMBITO A'!M$9*'SPESE TEC. AMBITO A'!M$11*S82*1*IF('SPESE TEC. AMBITO A'!G$4&lt;5000,1/0.65,1)</f>
        <v>0</v>
      </c>
      <c r="U82" s="31"/>
      <c r="V82" s="32">
        <f>IF('SPESE TEC. AMBITO A'!$T76="X",1,0)*'SPESE TEC. AMBITO A'!N$4*'SPESE TEC. AMBITO A'!N$7*'SPESE TEC. AMBITO A'!N$9*'SPESE TEC. AMBITO A'!N$11*U82*1</f>
        <v>0</v>
      </c>
      <c r="W82"/>
    </row>
    <row r="83" spans="1:23" s="1" customFormat="1" ht="15" customHeight="1">
      <c r="A83" s="359"/>
      <c r="B83" s="359"/>
      <c r="C83" s="196" t="s">
        <v>178</v>
      </c>
      <c r="D83" s="401" t="s">
        <v>179</v>
      </c>
      <c r="E83" s="401"/>
      <c r="F83" s="401"/>
      <c r="G83" s="29">
        <v>0.04</v>
      </c>
      <c r="H83" s="32">
        <f>IF('SPESE TEC. AMBITO A'!$E77="X",1,0)*'SPESE TEC. AMBITO A'!G$4*'SPESE TEC. AMBITO A'!G$7*'SPESE TEC. AMBITO A'!G$9*'SPESE TEC. AMBITO A'!G$11*G83</f>
        <v>562.81086365236831</v>
      </c>
      <c r="I83" s="29">
        <v>0.03</v>
      </c>
      <c r="J83" s="32">
        <f>IF('SPESE TEC. AMBITO A'!$H77="X",1,0)*'SPESE TEC. AMBITO A'!H$4*'SPESE TEC. AMBITO A'!H$7*'SPESE TEC. AMBITO A'!H$9*'SPESE TEC. AMBITO A'!H$11*I83</f>
        <v>0</v>
      </c>
      <c r="K83" s="29">
        <v>0.05</v>
      </c>
      <c r="L83" s="32">
        <f>IF('SPESE TEC. AMBITO A'!$K77="X",1,0)*'SPESE TEC. AMBITO A'!I$4*'SPESE TEC. AMBITO A'!I$7*'SPESE TEC. AMBITO A'!I$9*'SPESE TEC. AMBITO A'!I$11*K83*1</f>
        <v>0</v>
      </c>
      <c r="M83" s="29">
        <v>0.03</v>
      </c>
      <c r="N83" s="32">
        <f>IF('SPESE TEC. AMBITO A'!$N77="X",1,0)*'SPESE TEC. AMBITO A'!J$4*'SPESE TEC. AMBITO A'!J$7*'SPESE TEC. AMBITO A'!J$9*'SPESE TEC. AMBITO A'!J$11*M83*1</f>
        <v>0</v>
      </c>
      <c r="O83" s="29">
        <v>0.04</v>
      </c>
      <c r="P83" s="31"/>
      <c r="Q83" s="29">
        <v>0.03</v>
      </c>
      <c r="R83" s="31"/>
      <c r="S83" s="29">
        <v>0.03</v>
      </c>
      <c r="T83" s="182">
        <f>IF('SPESE TEC. AMBITO A'!$Q77="X",1,0)*'SPESE TEC. AMBITO A'!M$4*'SPESE TEC. AMBITO A'!M$7*'SPESE TEC. AMBITO A'!M$9*'SPESE TEC. AMBITO A'!M$11*S83*1*IF('SPESE TEC. AMBITO A'!G$4&lt;5000,1/0.65,1)</f>
        <v>0</v>
      </c>
      <c r="U83" s="31"/>
      <c r="V83" s="32">
        <f>IF('SPESE TEC. AMBITO A'!$T77="X",1,0)*'SPESE TEC. AMBITO A'!N$4*'SPESE TEC. AMBITO A'!N$7*'SPESE TEC. AMBITO A'!N$9*'SPESE TEC. AMBITO A'!N$11*U83*1</f>
        <v>0</v>
      </c>
      <c r="W83"/>
    </row>
    <row r="84" spans="1:23" s="1" customFormat="1" ht="15" customHeight="1">
      <c r="A84" s="359"/>
      <c r="B84" s="359"/>
      <c r="C84" s="196" t="s">
        <v>180</v>
      </c>
      <c r="D84" s="401" t="s">
        <v>181</v>
      </c>
      <c r="E84" s="401"/>
      <c r="F84" s="401"/>
      <c r="G84" s="29">
        <v>0.02</v>
      </c>
      <c r="H84" s="32">
        <f>IF('SPESE TEC. AMBITO A'!$E78="X",1,0)*'SPESE TEC. AMBITO A'!G$4*'SPESE TEC. AMBITO A'!G$7*'SPESE TEC. AMBITO A'!G$9*'SPESE TEC. AMBITO A'!G$11*G84</f>
        <v>281.40543182618416</v>
      </c>
      <c r="I84" s="29">
        <v>0.01</v>
      </c>
      <c r="J84" s="32">
        <f>IF('SPESE TEC. AMBITO A'!$H78="X",1,0)*'SPESE TEC. AMBITO A'!H$4*'SPESE TEC. AMBITO A'!H$7*'SPESE TEC. AMBITO A'!H$9*'SPESE TEC. AMBITO A'!H$11*I84</f>
        <v>0</v>
      </c>
      <c r="K84" s="29">
        <v>0.02</v>
      </c>
      <c r="L84" s="32">
        <f>IF('SPESE TEC. AMBITO A'!$K78="X",1,0)*'SPESE TEC. AMBITO A'!I$4*'SPESE TEC. AMBITO A'!I$7*'SPESE TEC. AMBITO A'!I$9*'SPESE TEC. AMBITO A'!I$11*K84*1</f>
        <v>0</v>
      </c>
      <c r="M84" s="29">
        <v>0.02</v>
      </c>
      <c r="N84" s="32">
        <f>IF('SPESE TEC. AMBITO A'!$N78="X",1,0)*'SPESE TEC. AMBITO A'!J$4*'SPESE TEC. AMBITO A'!J$7*'SPESE TEC. AMBITO A'!J$9*'SPESE TEC. AMBITO A'!J$11*M84*1</f>
        <v>0</v>
      </c>
      <c r="O84" s="29">
        <v>0.02</v>
      </c>
      <c r="P84" s="31"/>
      <c r="Q84" s="29">
        <v>0.02</v>
      </c>
      <c r="R84" s="31"/>
      <c r="S84" s="29">
        <v>0.02</v>
      </c>
      <c r="T84" s="182">
        <f>IF('SPESE TEC. AMBITO A'!$Q78="X",1,0)*'SPESE TEC. AMBITO A'!M$4*'SPESE TEC. AMBITO A'!M$7*'SPESE TEC. AMBITO A'!M$9*'SPESE TEC. AMBITO A'!M$11*S84*1*IF('SPESE TEC. AMBITO A'!G$4&lt;5000,1/0.65,1)</f>
        <v>0</v>
      </c>
      <c r="U84" s="31"/>
      <c r="V84" s="32">
        <f>IF('SPESE TEC. AMBITO A'!$T78="X",1,0)*'SPESE TEC. AMBITO A'!N$4*'SPESE TEC. AMBITO A'!N$7*'SPESE TEC. AMBITO A'!N$9*'SPESE TEC. AMBITO A'!N$11*U84*1</f>
        <v>0</v>
      </c>
      <c r="W84"/>
    </row>
    <row r="85" spans="1:23" s="1" customFormat="1" ht="15" customHeight="1">
      <c r="A85" s="359"/>
      <c r="B85" s="359"/>
      <c r="C85" s="196" t="s">
        <v>182</v>
      </c>
      <c r="D85" s="401" t="s">
        <v>183</v>
      </c>
      <c r="E85" s="401"/>
      <c r="F85" s="401"/>
      <c r="G85" s="29">
        <v>0.02</v>
      </c>
      <c r="H85" s="32">
        <f>IF('SPESE TEC. AMBITO A'!$E79="X",1,0)*'SPESE TEC. AMBITO A'!G$4*'SPESE TEC. AMBITO A'!G$7*'SPESE TEC. AMBITO A'!G$9*'SPESE TEC. AMBITO A'!G$11*G85</f>
        <v>0</v>
      </c>
      <c r="I85" s="29">
        <v>2.5000000000000001E-2</v>
      </c>
      <c r="J85" s="32">
        <f>IF('SPESE TEC. AMBITO A'!$H79="X",1,0)*'SPESE TEC. AMBITO A'!H$4*'SPESE TEC. AMBITO A'!H$7*'SPESE TEC. AMBITO A'!H$9*'SPESE TEC. AMBITO A'!H$11*I85</f>
        <v>0</v>
      </c>
      <c r="K85" s="29">
        <v>0.03</v>
      </c>
      <c r="L85" s="32">
        <f>IF('SPESE TEC. AMBITO A'!$K79="X",1,0)*'SPESE TEC. AMBITO A'!I$4*'SPESE TEC. AMBITO A'!I$7*'SPESE TEC. AMBITO A'!I$9*'SPESE TEC. AMBITO A'!I$11*K85*1</f>
        <v>0</v>
      </c>
      <c r="M85" s="29">
        <v>0.03</v>
      </c>
      <c r="N85" s="32">
        <f>IF('SPESE TEC. AMBITO A'!$N79="X",1,0)*'SPESE TEC. AMBITO A'!J$4*'SPESE TEC. AMBITO A'!J$7*'SPESE TEC. AMBITO A'!J$9*'SPESE TEC. AMBITO A'!J$11*M85*1</f>
        <v>0</v>
      </c>
      <c r="O85" s="29">
        <v>0.02</v>
      </c>
      <c r="P85" s="31"/>
      <c r="Q85" s="29">
        <v>0.02</v>
      </c>
      <c r="R85" s="31"/>
      <c r="S85" s="29">
        <v>0.03</v>
      </c>
      <c r="T85" s="32">
        <f>IF('SPESE TEC. AMBITO A'!$Q79="X",1,0)*'SPESE TEC. AMBITO A'!M$4*'SPESE TEC. AMBITO A'!M$7*'SPESE TEC. AMBITO A'!M$9*'SPESE TEC. AMBITO A'!M$11*S85*1</f>
        <v>0</v>
      </c>
      <c r="U85" s="31"/>
      <c r="V85" s="32">
        <f>IF('SPESE TEC. AMBITO A'!$T79="X",1,0)*'SPESE TEC. AMBITO A'!N$4*'SPESE TEC. AMBITO A'!N$7*'SPESE TEC. AMBITO A'!N$9*'SPESE TEC. AMBITO A'!N$11*U85*1</f>
        <v>0</v>
      </c>
      <c r="W85"/>
    </row>
    <row r="86" spans="1:23" s="1" customFormat="1" ht="15" customHeight="1">
      <c r="A86" s="359"/>
      <c r="B86" s="359"/>
      <c r="C86" s="196" t="s">
        <v>184</v>
      </c>
      <c r="D86" s="401" t="s">
        <v>155</v>
      </c>
      <c r="E86" s="401"/>
      <c r="F86" s="401"/>
      <c r="G86" s="29">
        <v>0.03</v>
      </c>
      <c r="H86" s="32">
        <f>IF('SPESE TEC. AMBITO A'!$E80="X",1,0)*'SPESE TEC. AMBITO A'!G$4*'SPESE TEC. AMBITO A'!G$7*'SPESE TEC. AMBITO A'!G$9*'SPESE TEC. AMBITO A'!G$11*G86</f>
        <v>422.10814773927621</v>
      </c>
      <c r="I86" s="29">
        <v>0.03</v>
      </c>
      <c r="J86" s="32">
        <f>IF('SPESE TEC. AMBITO A'!$H80="X",1,0)*'SPESE TEC. AMBITO A'!H$4*'SPESE TEC. AMBITO A'!H$7*'SPESE TEC. AMBITO A'!H$9*'SPESE TEC. AMBITO A'!H$11*I86</f>
        <v>0</v>
      </c>
      <c r="K86" s="29">
        <v>0.03</v>
      </c>
      <c r="L86" s="32">
        <f>IF('SPESE TEC. AMBITO A'!$K80="X",1,0)*'SPESE TEC. AMBITO A'!I$4*'SPESE TEC. AMBITO A'!I$7*'SPESE TEC. AMBITO A'!I$9*'SPESE TEC. AMBITO A'!I$11*K86*1</f>
        <v>0</v>
      </c>
      <c r="M86" s="29">
        <v>0.03</v>
      </c>
      <c r="N86" s="32">
        <f>IF('SPESE TEC. AMBITO A'!$N80="X",1,0)*'SPESE TEC. AMBITO A'!J$4*'SPESE TEC. AMBITO A'!J$7*'SPESE TEC. AMBITO A'!J$9*'SPESE TEC. AMBITO A'!J$11*M86*1</f>
        <v>0</v>
      </c>
      <c r="O86" s="29">
        <v>0.03</v>
      </c>
      <c r="P86" s="31"/>
      <c r="Q86" s="29">
        <v>0.03</v>
      </c>
      <c r="R86" s="31"/>
      <c r="S86" s="29">
        <v>0.03</v>
      </c>
      <c r="T86" s="182">
        <f>IF('SPESE TEC. AMBITO A'!$Q80="X",1,0)*'SPESE TEC. AMBITO A'!M$4*'SPESE TEC. AMBITO A'!M$7*'SPESE TEC. AMBITO A'!M$9*'SPESE TEC. AMBITO A'!M$11*S86*1*IF('SPESE TEC. AMBITO A'!G$4&lt;5000,1/0.65,1)</f>
        <v>0</v>
      </c>
      <c r="U86" s="31"/>
      <c r="V86" s="32">
        <f>IF('SPESE TEC. AMBITO A'!$T80="X",1,0)*'SPESE TEC. AMBITO A'!N$4*'SPESE TEC. AMBITO A'!N$7*'SPESE TEC. AMBITO A'!N$9*'SPESE TEC. AMBITO A'!N$11*U86*1</f>
        <v>0</v>
      </c>
      <c r="W86"/>
    </row>
    <row r="87" spans="1:23" s="1" customFormat="1" ht="15" customHeight="1">
      <c r="A87" s="359"/>
      <c r="B87" s="359"/>
      <c r="C87" s="196" t="s">
        <v>185</v>
      </c>
      <c r="D87" s="401" t="s">
        <v>186</v>
      </c>
      <c r="E87" s="401"/>
      <c r="F87" s="401"/>
      <c r="G87" s="29">
        <v>0.1</v>
      </c>
      <c r="H87" s="32">
        <f>IF('SPESE TEC. AMBITO A'!$E81="X",1,0)*'SPESE TEC. AMBITO A'!G$4*'SPESE TEC. AMBITO A'!G$7*'SPESE TEC. AMBITO A'!G$9*'SPESE TEC. AMBITO A'!G$11*G87</f>
        <v>1407.0271591309208</v>
      </c>
      <c r="I87" s="29">
        <v>0.1</v>
      </c>
      <c r="J87" s="32">
        <f>IF('SPESE TEC. AMBITO A'!$H81="X",1,0)*'SPESE TEC. AMBITO A'!H$4*'SPESE TEC. AMBITO A'!H$7*'SPESE TEC. AMBITO A'!H$9*'SPESE TEC. AMBITO A'!H$11*I87</f>
        <v>0</v>
      </c>
      <c r="K87" s="29">
        <v>0.1</v>
      </c>
      <c r="L87" s="32">
        <f>IF('SPESE TEC. AMBITO A'!$K81="X",1,0)*'SPESE TEC. AMBITO A'!I$4*'SPESE TEC. AMBITO A'!I$7*'SPESE TEC. AMBITO A'!I$9*'SPESE TEC. AMBITO A'!I$11*K87*1</f>
        <v>0</v>
      </c>
      <c r="M87" s="29">
        <v>0.1</v>
      </c>
      <c r="N87" s="32">
        <f>IF('SPESE TEC. AMBITO A'!$N81="X",1,0)*'SPESE TEC. AMBITO A'!J$4*'SPESE TEC. AMBITO A'!J$7*'SPESE TEC. AMBITO A'!J$9*'SPESE TEC. AMBITO A'!J$11*M87*1</f>
        <v>0</v>
      </c>
      <c r="O87" s="29">
        <v>0.1</v>
      </c>
      <c r="P87" s="31"/>
      <c r="Q87" s="29">
        <v>0.1</v>
      </c>
      <c r="R87" s="31"/>
      <c r="S87" s="29">
        <v>0.1</v>
      </c>
      <c r="T87" s="32">
        <f>IF('SPESE TEC. AMBITO A'!$Q81="X",1,0)*'SPESE TEC. AMBITO A'!M$4*'SPESE TEC. AMBITO A'!M$7*'SPESE TEC. AMBITO A'!M$9*'SPESE TEC. AMBITO A'!M$11*S87*1</f>
        <v>0</v>
      </c>
      <c r="U87" s="31"/>
      <c r="V87" s="32">
        <f>IF('SPESE TEC. AMBITO A'!$T81="X",1,0)*'SPESE TEC. AMBITO A'!N$4*'SPESE TEC. AMBITO A'!N$7*'SPESE TEC. AMBITO A'!N$9*'SPESE TEC. AMBITO A'!N$11*U87*1</f>
        <v>0</v>
      </c>
      <c r="W87"/>
    </row>
    <row r="88" spans="1:23" s="1" customFormat="1" ht="15" customHeight="1">
      <c r="A88" s="359"/>
      <c r="B88" s="359"/>
      <c r="C88" s="196" t="s">
        <v>187</v>
      </c>
      <c r="D88" s="401" t="s">
        <v>188</v>
      </c>
      <c r="E88" s="401"/>
      <c r="F88" s="401"/>
      <c r="G88" s="29">
        <v>0.01</v>
      </c>
      <c r="H88" s="32">
        <f>IF('SPESE TEC. AMBITO A'!$E82="X",1,0)*'SPESE TEC. AMBITO A'!G$4*'SPESE TEC. AMBITO A'!G$7*'SPESE TEC. AMBITO A'!G$9*'SPESE TEC. AMBITO A'!G$11*G88</f>
        <v>0</v>
      </c>
      <c r="I88" s="29">
        <v>0.01</v>
      </c>
      <c r="J88" s="32">
        <f>IF('SPESE TEC. AMBITO A'!$H82="X",1,0)*'SPESE TEC. AMBITO A'!H$4*'SPESE TEC. AMBITO A'!H$7*'SPESE TEC. AMBITO A'!H$9*'SPESE TEC. AMBITO A'!H$11*I88</f>
        <v>0</v>
      </c>
      <c r="K88" s="29">
        <v>0.01</v>
      </c>
      <c r="L88" s="32">
        <f>IF('SPESE TEC. AMBITO A'!$K82="X",1,0)*'SPESE TEC. AMBITO A'!I$4*'SPESE TEC. AMBITO A'!I$7*'SPESE TEC. AMBITO A'!I$9*'SPESE TEC. AMBITO A'!I$11*K88*1</f>
        <v>0</v>
      </c>
      <c r="M88" s="29">
        <v>0.01</v>
      </c>
      <c r="N88" s="32">
        <f>IF('SPESE TEC. AMBITO A'!$N82="X",1,0)*'SPESE TEC. AMBITO A'!J$4*'SPESE TEC. AMBITO A'!J$7*'SPESE TEC. AMBITO A'!J$9*'SPESE TEC. AMBITO A'!J$11*M88*1</f>
        <v>0</v>
      </c>
      <c r="O88" s="29">
        <v>0.01</v>
      </c>
      <c r="P88" s="31"/>
      <c r="Q88" s="29">
        <v>0.01</v>
      </c>
      <c r="R88" s="31"/>
      <c r="S88" s="29">
        <v>0.01</v>
      </c>
      <c r="T88" s="32">
        <f>IF('SPESE TEC. AMBITO A'!$Q82="X",1,0)*'SPESE TEC. AMBITO A'!M$4*'SPESE TEC. AMBITO A'!M$7*'SPESE TEC. AMBITO A'!M$9*'SPESE TEC. AMBITO A'!M$11*S88*1</f>
        <v>0</v>
      </c>
      <c r="U88" s="31"/>
      <c r="V88" s="32">
        <f>IF('SPESE TEC. AMBITO A'!$T82="X",1,0)*'SPESE TEC. AMBITO A'!N$4*'SPESE TEC. AMBITO A'!N$7*'SPESE TEC. AMBITO A'!N$9*'SPESE TEC. AMBITO A'!N$11*U88*1</f>
        <v>0</v>
      </c>
      <c r="W88"/>
    </row>
    <row r="89" spans="1:23" s="1" customFormat="1" ht="15" customHeight="1">
      <c r="A89" s="359"/>
      <c r="B89" s="359"/>
      <c r="C89" s="196" t="s">
        <v>189</v>
      </c>
      <c r="D89" s="401" t="s">
        <v>190</v>
      </c>
      <c r="E89" s="401"/>
      <c r="F89" s="401"/>
      <c r="G89" s="29">
        <v>0.13</v>
      </c>
      <c r="H89" s="32">
        <f>IF('SPESE TEC. AMBITO A'!$E83="X",1,0)*'SPESE TEC. AMBITO A'!G$4*'SPESE TEC. AMBITO A'!G$7*'SPESE TEC. AMBITO A'!G$9*'SPESE TEC. AMBITO A'!G$11*G89</f>
        <v>0</v>
      </c>
      <c r="I89" s="29">
        <v>0.13</v>
      </c>
      <c r="J89" s="32">
        <f>IF('SPESE TEC. AMBITO A'!$H83="X",1,0)*'SPESE TEC. AMBITO A'!H$4*'SPESE TEC. AMBITO A'!H$7*'SPESE TEC. AMBITO A'!H$9*'SPESE TEC. AMBITO A'!H$11*I89</f>
        <v>0</v>
      </c>
      <c r="K89" s="29">
        <v>0.13</v>
      </c>
      <c r="L89" s="32">
        <f>IF('SPESE TEC. AMBITO A'!$K83="X",1,0)*'SPESE TEC. AMBITO A'!I$4*'SPESE TEC. AMBITO A'!I$7*'SPESE TEC. AMBITO A'!I$9*'SPESE TEC. AMBITO A'!I$11*K89*1</f>
        <v>0</v>
      </c>
      <c r="M89" s="29">
        <v>0.13</v>
      </c>
      <c r="N89" s="32">
        <f>IF('SPESE TEC. AMBITO A'!$N83="X",1,0)*'SPESE TEC. AMBITO A'!J$4*'SPESE TEC. AMBITO A'!J$7*'SPESE TEC. AMBITO A'!J$9*'SPESE TEC. AMBITO A'!J$11*M89*1</f>
        <v>0</v>
      </c>
      <c r="O89" s="29">
        <v>0.13</v>
      </c>
      <c r="P89" s="31"/>
      <c r="Q89" s="29">
        <v>0.13</v>
      </c>
      <c r="R89" s="31"/>
      <c r="S89" s="29">
        <v>0.13</v>
      </c>
      <c r="T89" s="32">
        <f>IF('SPESE TEC. AMBITO A'!$Q83="X",1,0)*'SPESE TEC. AMBITO A'!M$4*'SPESE TEC. AMBITO A'!M$7*'SPESE TEC. AMBITO A'!M$9*'SPESE TEC. AMBITO A'!M$11*S89*1</f>
        <v>0</v>
      </c>
      <c r="U89" s="31"/>
      <c r="V89" s="32">
        <f>IF('SPESE TEC. AMBITO A'!$T83="X",1,0)*'SPESE TEC. AMBITO A'!N$4*'SPESE TEC. AMBITO A'!N$7*'SPESE TEC. AMBITO A'!N$9*'SPESE TEC. AMBITO A'!N$11*U89*1</f>
        <v>0</v>
      </c>
      <c r="W89"/>
    </row>
    <row r="90" spans="1:23" s="1" customFormat="1" ht="15" customHeight="1">
      <c r="A90" s="359"/>
      <c r="B90" s="359"/>
      <c r="C90" s="196" t="s">
        <v>191</v>
      </c>
      <c r="D90" s="401" t="s">
        <v>192</v>
      </c>
      <c r="E90" s="401"/>
      <c r="F90" s="401"/>
      <c r="G90" s="29">
        <v>0.04</v>
      </c>
      <c r="H90" s="32">
        <f>IF('SPESE TEC. AMBITO A'!$E84="X",1,0)*'SPESE TEC. AMBITO A'!G$4*'SPESE TEC. AMBITO A'!G$7*'SPESE TEC. AMBITO A'!G$9*'SPESE TEC. AMBITO A'!G$11*G90</f>
        <v>0</v>
      </c>
      <c r="I90" s="29">
        <v>0.04</v>
      </c>
      <c r="J90" s="32">
        <f>IF('SPESE TEC. AMBITO A'!$H84="X",1,0)*'SPESE TEC. AMBITO A'!H$4*'SPESE TEC. AMBITO A'!H$7*'SPESE TEC. AMBITO A'!H$9*'SPESE TEC. AMBITO A'!H$11*I90</f>
        <v>0</v>
      </c>
      <c r="K90" s="29">
        <v>0.04</v>
      </c>
      <c r="L90" s="32">
        <f>IF('SPESE TEC. AMBITO A'!$K84="X",1,0)*'SPESE TEC. AMBITO A'!I$4*'SPESE TEC. AMBITO A'!I$7*'SPESE TEC. AMBITO A'!I$9*'SPESE TEC. AMBITO A'!I$11*K90*1</f>
        <v>0</v>
      </c>
      <c r="M90" s="29">
        <v>0.04</v>
      </c>
      <c r="N90" s="32">
        <f>IF('SPESE TEC. AMBITO A'!$N84="X",1,0)*'SPESE TEC. AMBITO A'!J$4*'SPESE TEC. AMBITO A'!J$7*'SPESE TEC. AMBITO A'!J$9*'SPESE TEC. AMBITO A'!J$11*M90*1</f>
        <v>0</v>
      </c>
      <c r="O90" s="29">
        <v>0.04</v>
      </c>
      <c r="P90" s="31"/>
      <c r="Q90" s="29">
        <v>0.04</v>
      </c>
      <c r="R90" s="31"/>
      <c r="S90" s="29">
        <v>0.04</v>
      </c>
      <c r="T90" s="32">
        <f>IF('SPESE TEC. AMBITO A'!$Q84="X",1,0)*'SPESE TEC. AMBITO A'!M$4*'SPESE TEC. AMBITO A'!M$7*'SPESE TEC. AMBITO A'!M$9*'SPESE TEC. AMBITO A'!M$11*S90*1</f>
        <v>0</v>
      </c>
      <c r="U90" s="31"/>
      <c r="V90" s="32">
        <f>IF('SPESE TEC. AMBITO A'!$T84="X",1,0)*'SPESE TEC. AMBITO A'!N$4*'SPESE TEC. AMBITO A'!N$7*'SPESE TEC. AMBITO A'!N$9*'SPESE TEC. AMBITO A'!N$11*U90*1</f>
        <v>0</v>
      </c>
      <c r="W90"/>
    </row>
    <row r="91" spans="1:23" s="1" customFormat="1" ht="15" customHeight="1">
      <c r="A91" s="359"/>
      <c r="B91" s="359"/>
      <c r="C91" s="196" t="s">
        <v>193</v>
      </c>
      <c r="D91" s="401" t="s">
        <v>194</v>
      </c>
      <c r="E91" s="401"/>
      <c r="F91" s="401"/>
      <c r="G91" s="29">
        <v>0.01</v>
      </c>
      <c r="H91" s="32">
        <f>IF('SPESE TEC. AMBITO A'!$E85="X",1,0)*'SPESE TEC. AMBITO A'!G$4*'SPESE TEC. AMBITO A'!G$7*'SPESE TEC. AMBITO A'!G$9*'SPESE TEC. AMBITO A'!G$11*G91</f>
        <v>0</v>
      </c>
      <c r="I91" s="29">
        <v>0.01</v>
      </c>
      <c r="J91" s="32">
        <f>IF('SPESE TEC. AMBITO A'!$H85="X",1,0)*'SPESE TEC. AMBITO A'!H$4*'SPESE TEC. AMBITO A'!H$7*'SPESE TEC. AMBITO A'!H$9*'SPESE TEC. AMBITO A'!H$11*I91</f>
        <v>0</v>
      </c>
      <c r="K91" s="29">
        <v>0.01</v>
      </c>
      <c r="L91" s="32">
        <f>IF('SPESE TEC. AMBITO A'!$K85="X",1,0)*'SPESE TEC. AMBITO A'!I$4*'SPESE TEC. AMBITO A'!I$7*'SPESE TEC. AMBITO A'!I$9*'SPESE TEC. AMBITO A'!I$11*K91*1</f>
        <v>0</v>
      </c>
      <c r="M91" s="29">
        <v>0.01</v>
      </c>
      <c r="N91" s="32">
        <f>IF('SPESE TEC. AMBITO A'!$N85="X",1,0)*'SPESE TEC. AMBITO A'!J$4*'SPESE TEC. AMBITO A'!J$7*'SPESE TEC. AMBITO A'!J$9*'SPESE TEC. AMBITO A'!J$11*M91*1</f>
        <v>0</v>
      </c>
      <c r="O91" s="29">
        <v>0.01</v>
      </c>
      <c r="P91" s="31"/>
      <c r="Q91" s="29">
        <v>0.01</v>
      </c>
      <c r="R91" s="31"/>
      <c r="S91" s="29">
        <v>0.01</v>
      </c>
      <c r="T91" s="32">
        <f>IF('SPESE TEC. AMBITO A'!$Q85="X",1,0)*'SPESE TEC. AMBITO A'!M$4*'SPESE TEC. AMBITO A'!M$7*'SPESE TEC. AMBITO A'!M$9*'SPESE TEC. AMBITO A'!M$11*S91*1</f>
        <v>0</v>
      </c>
      <c r="U91" s="31"/>
      <c r="V91" s="32">
        <f>IF('SPESE TEC. AMBITO A'!$T85="X",1,0)*'SPESE TEC. AMBITO A'!N$4*'SPESE TEC. AMBITO A'!N$7*'SPESE TEC. AMBITO A'!N$9*'SPESE TEC. AMBITO A'!N$11*U91*1</f>
        <v>0</v>
      </c>
      <c r="W91"/>
    </row>
    <row r="92" spans="1:23" s="1" customFormat="1" ht="15" customHeight="1">
      <c r="A92" s="359" t="s">
        <v>198</v>
      </c>
      <c r="B92" s="359" t="s">
        <v>199</v>
      </c>
      <c r="C92" s="196" t="s">
        <v>200</v>
      </c>
      <c r="D92" s="401" t="s">
        <v>201</v>
      </c>
      <c r="E92" s="401"/>
      <c r="F92" s="401"/>
      <c r="G92" s="29">
        <v>0.32</v>
      </c>
      <c r="H92" s="32">
        <f>IF('SPESE TEC. AMBITO A'!$E86="X",1,0)*'SPESE TEC. AMBITO A'!G$4*'SPESE TEC. AMBITO A'!G$7*'SPESE TEC. AMBITO A'!G$9*'SPESE TEC. AMBITO A'!G$11*G92</f>
        <v>4502.4869092189465</v>
      </c>
      <c r="I92" s="29">
        <v>0.38</v>
      </c>
      <c r="J92" s="32">
        <f>IF('SPESE TEC. AMBITO A'!$H86="X",1,0)*'SPESE TEC. AMBITO A'!H$4*'SPESE TEC. AMBITO A'!H$7*'SPESE TEC. AMBITO A'!H$9*'SPESE TEC. AMBITO A'!H$11*I92</f>
        <v>0</v>
      </c>
      <c r="K92" s="29">
        <v>0.32</v>
      </c>
      <c r="L92" s="32">
        <f>IF('SPESE TEC. AMBITO A'!$K86="X",1,0)*'SPESE TEC. AMBITO A'!I$4*'SPESE TEC. AMBITO A'!I$7*'SPESE TEC. AMBITO A'!I$9*'SPESE TEC. AMBITO A'!I$11*K92*1</f>
        <v>0</v>
      </c>
      <c r="M92" s="29">
        <v>0.42</v>
      </c>
      <c r="N92" s="32">
        <f>IF('SPESE TEC. AMBITO A'!$N86="X",1,0)*'SPESE TEC. AMBITO A'!J$4*'SPESE TEC. AMBITO A'!J$7*'SPESE TEC. AMBITO A'!J$9*'SPESE TEC. AMBITO A'!J$11*M92*1</f>
        <v>0</v>
      </c>
      <c r="O92" s="29">
        <v>0.42</v>
      </c>
      <c r="P92" s="31"/>
      <c r="Q92" s="29">
        <v>0.35</v>
      </c>
      <c r="R92" s="31"/>
      <c r="S92" s="29">
        <v>0.11</v>
      </c>
      <c r="T92" s="182">
        <f>IF('SPESE TEC. AMBITO A'!$Q86="X",1,0)*'SPESE TEC. AMBITO A'!M$4*'SPESE TEC. AMBITO A'!M$7*'SPESE TEC. AMBITO A'!M$9*'SPESE TEC. AMBITO A'!M$11*S92*1*IF('SPESE TEC. AMBITO A'!G$4&lt;5000,1/0.65,1)</f>
        <v>0</v>
      </c>
      <c r="U92" s="31"/>
      <c r="V92" s="32">
        <f>IF('SPESE TEC. AMBITO A'!$T86="X",1,0)*'SPESE TEC. AMBITO A'!N$4*'SPESE TEC. AMBITO A'!N$7*'SPESE TEC. AMBITO A'!N$9*'SPESE TEC. AMBITO A'!N$11*U92*1</f>
        <v>0</v>
      </c>
      <c r="W92"/>
    </row>
    <row r="93" spans="1:23" s="1" customFormat="1" ht="15" customHeight="1">
      <c r="A93" s="359"/>
      <c r="B93" s="359"/>
      <c r="C93" s="196" t="s">
        <v>202</v>
      </c>
      <c r="D93" s="401" t="s">
        <v>236</v>
      </c>
      <c r="E93" s="402"/>
      <c r="F93" s="402"/>
      <c r="G93" s="29">
        <v>0.03</v>
      </c>
      <c r="H93" s="32">
        <f>IF('SPESE TEC. AMBITO A'!$E87="X",1,0)*'SPESE TEC. AMBITO A'!G$4*'SPESE TEC. AMBITO A'!G$7*'SPESE TEC. AMBITO A'!G$9*'SPESE TEC. AMBITO A'!G$11*G93</f>
        <v>0</v>
      </c>
      <c r="I93" s="29">
        <v>0.02</v>
      </c>
      <c r="J93" s="32">
        <f>IF('SPESE TEC. AMBITO A'!$H87="X",1,0)*'SPESE TEC. AMBITO A'!H$4*'SPESE TEC. AMBITO A'!H$7*'SPESE TEC. AMBITO A'!H$9*'SPESE TEC. AMBITO A'!H$11*I93</f>
        <v>0</v>
      </c>
      <c r="K93" s="29">
        <v>0.03</v>
      </c>
      <c r="L93" s="32">
        <f>IF('SPESE TEC. AMBITO A'!$K87="X",1,0)*'SPESE TEC. AMBITO A'!I$4*'SPESE TEC. AMBITO A'!I$7*'SPESE TEC. AMBITO A'!I$9*'SPESE TEC. AMBITO A'!I$11*K93*1</f>
        <v>0</v>
      </c>
      <c r="M93" s="29">
        <v>0.03</v>
      </c>
      <c r="N93" s="32">
        <f>IF('SPESE TEC. AMBITO A'!$N87="X",1,0)*'SPESE TEC. AMBITO A'!J$4*'SPESE TEC. AMBITO A'!J$7*'SPESE TEC. AMBITO A'!J$9*'SPESE TEC. AMBITO A'!J$11*M93*1</f>
        <v>0</v>
      </c>
      <c r="O93" s="29">
        <v>0.04</v>
      </c>
      <c r="P93" s="31"/>
      <c r="Q93" s="29">
        <v>0.03</v>
      </c>
      <c r="R93" s="31"/>
      <c r="S93" s="29">
        <v>0.03</v>
      </c>
      <c r="T93" s="32">
        <f>IF('SPESE TEC. AMBITO A'!$Q87="X",1,0)*'SPESE TEC. AMBITO A'!M$4*'SPESE TEC. AMBITO A'!M$7*'SPESE TEC. AMBITO A'!M$9*'SPESE TEC. AMBITO A'!M$11*S93*1</f>
        <v>0</v>
      </c>
      <c r="U93" s="31"/>
      <c r="V93" s="32">
        <f>IF('SPESE TEC. AMBITO A'!$T87="X",1,0)*'SPESE TEC. AMBITO A'!N$4*'SPESE TEC. AMBITO A'!N$7*'SPESE TEC. AMBITO A'!N$9*'SPESE TEC. AMBITO A'!N$11*U93*1</f>
        <v>0</v>
      </c>
      <c r="W93"/>
    </row>
    <row r="94" spans="1:23" s="1" customFormat="1" ht="15" customHeight="1">
      <c r="A94" s="359"/>
      <c r="B94" s="359"/>
      <c r="C94" s="196" t="s">
        <v>203</v>
      </c>
      <c r="D94" s="401" t="s">
        <v>204</v>
      </c>
      <c r="E94" s="401"/>
      <c r="F94" s="401"/>
      <c r="G94" s="29">
        <v>0.02</v>
      </c>
      <c r="H94" s="32">
        <f>IF('SPESE TEC. AMBITO A'!$E88="X",1,0)*'SPESE TEC. AMBITO A'!G$4*'SPESE TEC. AMBITO A'!G$7*'SPESE TEC. AMBITO A'!G$9*'SPESE TEC. AMBITO A'!G$11*G94</f>
        <v>281.40543182618416</v>
      </c>
      <c r="I94" s="29">
        <v>0.02</v>
      </c>
      <c r="J94" s="32">
        <f>IF('SPESE TEC. AMBITO A'!$H88="X",1,0)*'SPESE TEC. AMBITO A'!H$4*'SPESE TEC. AMBITO A'!H$7*'SPESE TEC. AMBITO A'!H$9*'SPESE TEC. AMBITO A'!H$11*I94</f>
        <v>0</v>
      </c>
      <c r="K94" s="29">
        <v>0.02</v>
      </c>
      <c r="L94" s="32">
        <f>IF('SPESE TEC. AMBITO A'!$K88="X",1,0)*'SPESE TEC. AMBITO A'!I$4*'SPESE TEC. AMBITO A'!I$7*'SPESE TEC. AMBITO A'!I$9*'SPESE TEC. AMBITO A'!I$11*K94*1</f>
        <v>0</v>
      </c>
      <c r="M94" s="29">
        <v>0.02</v>
      </c>
      <c r="N94" s="32">
        <f>IF('SPESE TEC. AMBITO A'!$N88="X",1,0)*'SPESE TEC. AMBITO A'!J$4*'SPESE TEC. AMBITO A'!J$7*'SPESE TEC. AMBITO A'!J$9*'SPESE TEC. AMBITO A'!J$11*M94*1</f>
        <v>0</v>
      </c>
      <c r="O94" s="29">
        <v>0.02</v>
      </c>
      <c r="P94" s="31"/>
      <c r="Q94" s="29">
        <v>0.02</v>
      </c>
      <c r="R94" s="31"/>
      <c r="S94" s="29">
        <v>0.02</v>
      </c>
      <c r="T94" s="32">
        <f>IF('SPESE TEC. AMBITO A'!$Q88="X",1,0)*'SPESE TEC. AMBITO A'!M$4*'SPESE TEC. AMBITO A'!M$7*'SPESE TEC. AMBITO A'!M$9*'SPESE TEC. AMBITO A'!M$11*S94*1</f>
        <v>0</v>
      </c>
      <c r="U94" s="31"/>
      <c r="V94" s="32">
        <f>IF('SPESE TEC. AMBITO A'!$T88="X",1,0)*'SPESE TEC. AMBITO A'!N$4*'SPESE TEC. AMBITO A'!N$7*'SPESE TEC. AMBITO A'!N$9*'SPESE TEC. AMBITO A'!N$11*U94*1</f>
        <v>0</v>
      </c>
      <c r="W94"/>
    </row>
    <row r="95" spans="1:23" s="1" customFormat="1" ht="15" customHeight="1">
      <c r="A95" s="359"/>
      <c r="B95" s="359"/>
      <c r="C95" s="196" t="s">
        <v>205</v>
      </c>
      <c r="D95" s="401" t="s">
        <v>206</v>
      </c>
      <c r="E95" s="401"/>
      <c r="F95" s="401"/>
      <c r="G95" s="29">
        <v>0.02</v>
      </c>
      <c r="H95" s="32">
        <f>IF('SPESE TEC. AMBITO A'!$E89="X",1,0)*'SPESE TEC. AMBITO A'!G$4*'SPESE TEC. AMBITO A'!G$7*'SPESE TEC. AMBITO A'!G$9*'SPESE TEC. AMBITO A'!G$11*G95</f>
        <v>281.40543182618416</v>
      </c>
      <c r="I95" s="29">
        <v>0.02</v>
      </c>
      <c r="J95" s="32">
        <f>IF('SPESE TEC. AMBITO A'!$H89="X",1,0)*'SPESE TEC. AMBITO A'!H$4*'SPESE TEC. AMBITO A'!H$7*'SPESE TEC. AMBITO A'!H$9*'SPESE TEC. AMBITO A'!H$11*I95</f>
        <v>0</v>
      </c>
      <c r="K95" s="29">
        <v>0.02</v>
      </c>
      <c r="L95" s="32">
        <f>IF('SPESE TEC. AMBITO A'!$K89="X",1,0)*'SPESE TEC. AMBITO A'!I$4*'SPESE TEC. AMBITO A'!I$7*'SPESE TEC. AMBITO A'!I$9*'SPESE TEC. AMBITO A'!I$11*K95*1</f>
        <v>0</v>
      </c>
      <c r="M95" s="29">
        <v>0.02</v>
      </c>
      <c r="N95" s="32">
        <f>IF('SPESE TEC. AMBITO A'!$N89="X",1,0)*'SPESE TEC. AMBITO A'!J$4*'SPESE TEC. AMBITO A'!J$7*'SPESE TEC. AMBITO A'!J$9*'SPESE TEC. AMBITO A'!J$11*M95*1</f>
        <v>0</v>
      </c>
      <c r="O95" s="29">
        <v>0.02</v>
      </c>
      <c r="P95" s="31"/>
      <c r="Q95" s="29">
        <v>0.02</v>
      </c>
      <c r="R95" s="31"/>
      <c r="S95" s="29">
        <v>0.02</v>
      </c>
      <c r="T95" s="182">
        <f>IF('SPESE TEC. AMBITO A'!$Q89="X",1,0)*'SPESE TEC. AMBITO A'!M$4*'SPESE TEC. AMBITO A'!M$7*'SPESE TEC. AMBITO A'!M$9*'SPESE TEC. AMBITO A'!M$11*S95*1*IF('SPESE TEC. AMBITO A'!G$4&lt;5000,1/0.65,1)</f>
        <v>0</v>
      </c>
      <c r="U95" s="31"/>
      <c r="V95" s="32">
        <f>IF('SPESE TEC. AMBITO A'!$T89="X",1,0)*'SPESE TEC. AMBITO A'!N$4*'SPESE TEC. AMBITO A'!N$7*'SPESE TEC. AMBITO A'!N$9*'SPESE TEC. AMBITO A'!N$11*U95*1</f>
        <v>0</v>
      </c>
      <c r="W95"/>
    </row>
    <row r="96" spans="1:23" s="1" customFormat="1" ht="15" customHeight="1">
      <c r="A96" s="359"/>
      <c r="B96" s="359"/>
      <c r="C96" s="196" t="s">
        <v>207</v>
      </c>
      <c r="D96" s="401" t="s">
        <v>237</v>
      </c>
      <c r="E96" s="402"/>
      <c r="F96" s="402"/>
      <c r="G96" s="29">
        <v>0.1</v>
      </c>
      <c r="H96" s="32">
        <f>IF('SPESE TEC. AMBITO A'!$E90="X",1,0)*'SPESE TEC. AMBITO A'!G$4*'SPESE TEC. AMBITO A'!G$7*'SPESE TEC. AMBITO A'!G$9*'SPESE TEC. AMBITO A'!G$11*G96</f>
        <v>0</v>
      </c>
      <c r="I96" s="29">
        <v>0.1</v>
      </c>
      <c r="J96" s="32">
        <f>IF('SPESE TEC. AMBITO A'!$H90="X",1,0)*'SPESE TEC. AMBITO A'!H$4*'SPESE TEC. AMBITO A'!H$7*'SPESE TEC. AMBITO A'!H$9*'SPESE TEC. AMBITO A'!H$11*I96</f>
        <v>0</v>
      </c>
      <c r="K96" s="29">
        <v>0.1</v>
      </c>
      <c r="L96" s="32">
        <f>IF('SPESE TEC. AMBITO A'!$K90="X",1,0)*'SPESE TEC. AMBITO A'!I$4*'SPESE TEC. AMBITO A'!I$7*'SPESE TEC. AMBITO A'!I$9*'SPESE TEC. AMBITO A'!I$11*K96*1</f>
        <v>0</v>
      </c>
      <c r="M96" s="29">
        <v>0.1</v>
      </c>
      <c r="N96" s="32">
        <f>IF('SPESE TEC. AMBITO A'!$N90="X",1,0)*'SPESE TEC. AMBITO A'!J$4*'SPESE TEC. AMBITO A'!J$7*'SPESE TEC. AMBITO A'!J$9*'SPESE TEC. AMBITO A'!J$11*M96*1</f>
        <v>0</v>
      </c>
      <c r="O96" s="29">
        <v>0.1</v>
      </c>
      <c r="P96" s="31"/>
      <c r="Q96" s="29">
        <v>0.1</v>
      </c>
      <c r="R96" s="31"/>
      <c r="S96" s="29">
        <v>0.1</v>
      </c>
      <c r="T96" s="32">
        <f>IF('SPESE TEC. AMBITO A'!$Q90="X",1,0)*'SPESE TEC. AMBITO A'!M$4*'SPESE TEC. AMBITO A'!M$7*'SPESE TEC. AMBITO A'!M$9*'SPESE TEC. AMBITO A'!M$11*S96*1</f>
        <v>0</v>
      </c>
      <c r="U96" s="31"/>
      <c r="V96" s="32">
        <f>IF('SPESE TEC. AMBITO A'!$T90="X",1,0)*'SPESE TEC. AMBITO A'!N$4*'SPESE TEC. AMBITO A'!N$7*'SPESE TEC. AMBITO A'!N$9*'SPESE TEC. AMBITO A'!N$11*U96*1</f>
        <v>0</v>
      </c>
      <c r="W96"/>
    </row>
    <row r="97" spans="1:23" s="1" customFormat="1" ht="15" customHeight="1">
      <c r="A97" s="359"/>
      <c r="B97" s="359"/>
      <c r="C97" s="196" t="s">
        <v>208</v>
      </c>
      <c r="D97" s="401" t="s">
        <v>250</v>
      </c>
      <c r="E97" s="196" t="s">
        <v>62</v>
      </c>
      <c r="F97" s="285">
        <v>250000</v>
      </c>
      <c r="G97" s="29">
        <v>3.9E-2</v>
      </c>
      <c r="H97" s="32">
        <f>IF('SPESE TEC. AMBITO A'!G$4&gt;$F97,$F97*(0.03+10/POWER($F97,0.4))*'SPESE TEC. AMBITO A'!G$9*'SPESE TEC. AMBITO A'!G$11*G97*IF('SPESE TEC. AMBITO A'!$E$91="X",1,0),'SPESE TEC. AMBITO A'!G$4*'SPESE TEC. AMBITO A'!G$7*'SPESE TEC. AMBITO A'!G$9*'SPESE TEC. AMBITO A'!G$11*G97)*IF('SPESE TEC. AMBITO A'!$E$91="X",1,0)</f>
        <v>0</v>
      </c>
      <c r="I97" s="29">
        <v>3.9E-2</v>
      </c>
      <c r="J97" s="32">
        <f>IF('SPESE TEC. AMBITO A'!H$4&gt;$F97,$F97*(0.03+10/POWER($F97,0.4))*'SPESE TEC. AMBITO A'!H$9*I97*IF('SPESE TEC. AMBITO A'!$H$91="X",1,0),'SPESE TEC. AMBITO A'!H$4*'SPESE TEC. AMBITO A'!H$7*'SPESE TEC. AMBITO A'!H$9*I97)*IF('SPESE TEC. AMBITO A'!$H$91="X",1,0)</f>
        <v>0</v>
      </c>
      <c r="K97" s="29">
        <v>3.9E-2</v>
      </c>
      <c r="L97" s="32">
        <f>IF('SPESE TEC. AMBITO A'!I$4&gt;$F97,$F97*(0.03+10/POWER($F97,0.4))*'SPESE TEC. AMBITO A'!I$9*K97*IF('SPESE TEC. AMBITO A'!$K$91="X",1,0),'SPESE TEC. AMBITO A'!I$4*'SPESE TEC. AMBITO A'!I$7*'SPESE TEC. AMBITO A'!I$9*K97*1)*IF('SPESE TEC. AMBITO A'!$K$91="X",1,0)</f>
        <v>0</v>
      </c>
      <c r="M97" s="29">
        <v>0.127</v>
      </c>
      <c r="N97" s="32">
        <f>IF('SPESE TEC. AMBITO A'!J$4&gt;$F97,$F97*(0.03+10/POWER($F97,0.4))*'SPESE TEC. AMBITO A'!J$9*'SPESE TEC. AMBITO A'!J$11*M97*IF('SPESE TEC. AMBITO A'!$N$91="X",1,0),'SPESE TEC. AMBITO A'!J$4*'SPESE TEC. AMBITO A'!J$7*'SPESE TEC. AMBITO A'!J$9*'SPESE TEC. AMBITO A'!J$11*M97*1)*IF('SPESE TEC. AMBITO A'!$N$91="X",1,0)</f>
        <v>0</v>
      </c>
      <c r="O97" s="29">
        <v>9.5000000000000001E-2</v>
      </c>
      <c r="P97" s="31"/>
      <c r="Q97" s="31"/>
      <c r="R97" s="31"/>
      <c r="S97" s="29">
        <v>9.5000000000000001E-2</v>
      </c>
      <c r="T97" s="32">
        <f>IF('SPESE TEC. AMBITO A'!M$4&gt;$F97,$F97*(0.03+10/POWER($F97,0.4))*'SPESE TEC. AMBITO A'!M$9*S97*IF('SPESE TEC. AMBITO A'!$Q$91="X",1,0),'SPESE TEC. AMBITO A'!M$4*'SPESE TEC. AMBITO A'!M$7*'SPESE TEC. AMBITO A'!M$9*S97*1)*IF('SPESE TEC. AMBITO A'!$Q$91="X",1,0)</f>
        <v>0</v>
      </c>
      <c r="U97" s="31"/>
      <c r="V97" s="32">
        <f>IF('SPESE TEC. AMBITO A'!N$4&gt;$F97,$F97*(0.03+10/POWER($F97,0.4))*'SPESE TEC. AMBITO A'!N$9*U97*IF('SPESE TEC. AMBITO A'!$T$91="X",1,0),'SPESE TEC. AMBITO A'!N$4*'SPESE TEC. AMBITO A'!N$7*'SPESE TEC. AMBITO A'!N$9*U97*1)*IF('SPESE TEC. AMBITO A'!$T$91="X",1,0)</f>
        <v>0</v>
      </c>
      <c r="W97"/>
    </row>
    <row r="98" spans="1:23" s="1" customFormat="1" ht="22.5">
      <c r="A98" s="359"/>
      <c r="B98" s="359"/>
      <c r="C98" s="196" t="s">
        <v>208</v>
      </c>
      <c r="D98" s="401"/>
      <c r="E98" s="196" t="s">
        <v>84</v>
      </c>
      <c r="F98" s="285">
        <v>500000</v>
      </c>
      <c r="G98" s="29">
        <v>0.01</v>
      </c>
      <c r="H98" s="32">
        <f>IF('SPESE TEC. AMBITO A'!G$4&gt;$F98,($F98-$F97)*(0.03+10/POWER(($F98-$F97),0.4))*'SPESE TEC. AMBITO A'!G$9*'SPESE TEC. AMBITO A'!G$11*G98*IF('SPESE TEC. AMBITO A'!$E$91="X",1,0),IF(('SPESE TEC. AMBITO A'!G$4-$F97)&gt;0,('SPESE TEC. AMBITO A'!G$4-$F97)*(0.03+10/POWER(('SPESE TEC. AMBITO A'!G$4-$F97),0.4))*'SPESE TEC. AMBITO A'!G$9*'SPESE TEC. AMBITO A'!G$11*G98,0)*IF('SPESE TEC. AMBITO A'!$E$91="X",1,0))</f>
        <v>0</v>
      </c>
      <c r="I98" s="29">
        <v>0.01</v>
      </c>
      <c r="J98" s="32">
        <f>IF('SPESE TEC. AMBITO A'!H$4&gt;$F98,($F98-$F97)*(0.03+10/POWER(($F98-$F97),0.4))*'SPESE TEC. AMBITO A'!H$9*I98*IF('SPESE TEC. AMBITO A'!$H$91="X",1,0),IF(('SPESE TEC. AMBITO A'!H$4-$F97)&gt;0,('SPESE TEC. AMBITO A'!H$4-$F97)*(0.03+10/POWER(('SPESE TEC. AMBITO A'!H$4-$F97),0.4))*'SPESE TEC. AMBITO A'!H$9*I98,0)*IF('SPESE TEC. AMBITO A'!$H$91="X",1,0))</f>
        <v>0</v>
      </c>
      <c r="K98" s="29">
        <v>0.01</v>
      </c>
      <c r="L98" s="32">
        <f>IF('SPESE TEC. AMBITO A'!I$4&gt;$F98,($F98-$F97)*(0.03+10/POWER(($F98-$F97),0.4))*'SPESE TEC. AMBITO A'!I$9*K98*IF('SPESE TEC. AMBITO A'!$K$91="X",1,0),IF(('SPESE TEC. AMBITO A'!I$4-$F97)&gt;0,('SPESE TEC. AMBITO A'!I$4-$F97)*(0.03+10/POWER(('SPESE TEC. AMBITO A'!I$4-$F97),0.4))*'SPESE TEC. AMBITO A'!I$9*K98*1,0)*IF('SPESE TEC. AMBITO A'!$K$91="X",1,0))</f>
        <v>0</v>
      </c>
      <c r="M98" s="29">
        <v>0.11</v>
      </c>
      <c r="N98" s="32">
        <f>IF('SPESE TEC. AMBITO A'!J$4&gt;$F98,($F98-$F97)*(0.03+10/POWER(($F98-$F97),0.4))*'SPESE TEC. AMBITO A'!J$9*'SPESE TEC. AMBITO A'!J$11*M98*IF('SPESE TEC. AMBITO A'!$N$91="X",1,0),IF(('SPESE TEC. AMBITO A'!J$4-$F97)&gt;0,('SPESE TEC. AMBITO A'!J$4-$F97)*(0.03+10/POWER(('SPESE TEC. AMBITO A'!J$4-$F97),0.4))*'SPESE TEC. AMBITO A'!J$9*'SPESE TEC. AMBITO A'!J$11*M98*1,0)*IF('SPESE TEC. AMBITO A'!$N$91="X",1,0))</f>
        <v>0</v>
      </c>
      <c r="O98" s="29">
        <v>8.1000000000000003E-2</v>
      </c>
      <c r="P98" s="31"/>
      <c r="Q98" s="31"/>
      <c r="R98" s="31"/>
      <c r="S98" s="29">
        <v>8.1000000000000003E-2</v>
      </c>
      <c r="T98" s="32">
        <f>IF('SPESE TEC. AMBITO A'!M$4&gt;$F98,($F98-$F97)*(0.03+10/POWER(($F98-$F97),0.4))*'SPESE TEC. AMBITO A'!M$9*S98*IF('SPESE TEC. AMBITO A'!$Q$91="X",1,0),IF(('SPESE TEC. AMBITO A'!M$4-$F97)&gt;0,('SPESE TEC. AMBITO A'!M$4-$F97)*(0.03+10/POWER(('SPESE TEC. AMBITO A'!M$4-$F97),0.4))*'SPESE TEC. AMBITO A'!M$9*S98*1,0)*IF('SPESE TEC. AMBITO A'!$Q$91="X",1,0))</f>
        <v>0</v>
      </c>
      <c r="U98" s="31"/>
      <c r="V98" s="32">
        <f>IF('SPESE TEC. AMBITO A'!N$4&gt;$F98,($F98-$F97)*(0.03+10/POWER(($F98-$F97),0.4))*'SPESE TEC. AMBITO A'!N$9*U98*IF('SPESE TEC. AMBITO A'!$T$91="X",1,0),IF(('SPESE TEC. AMBITO A'!N$4-$F97)&gt;0,('SPESE TEC. AMBITO A'!N$4-$F97)*(0.03+10/POWER(('SPESE TEC. AMBITO A'!N$4-$F97),0.4))*'SPESE TEC. AMBITO A'!N$9*U98*1,0)*IF('SPESE TEC. AMBITO A'!$T$91="X",1,0))</f>
        <v>0</v>
      </c>
      <c r="W98"/>
    </row>
    <row r="99" spans="1:23" s="1" customFormat="1" ht="22.5">
      <c r="A99" s="359"/>
      <c r="B99" s="359"/>
      <c r="C99" s="196" t="s">
        <v>208</v>
      </c>
      <c r="D99" s="401"/>
      <c r="E99" s="196" t="s">
        <v>84</v>
      </c>
      <c r="F99" s="285">
        <v>1000000</v>
      </c>
      <c r="G99" s="29">
        <v>1.2999999999999999E-2</v>
      </c>
      <c r="H99" s="32">
        <f>IF('SPESE TEC. AMBITO A'!G$4&gt;$F99,($F99-$F98)*(0.03+10/POWER(($F99-$F98),0.4))*'SPESE TEC. AMBITO A'!G$9*'SPESE TEC. AMBITO A'!G$11*G99*IF('SPESE TEC. AMBITO A'!$E$91="X",1,0),IF(('SPESE TEC. AMBITO A'!G$4-$F98)&gt;0,('SPESE TEC. AMBITO A'!G$4-$F98)*(0.03+10/POWER(('SPESE TEC. AMBITO A'!G$4-$F98),0.4))*'SPESE TEC. AMBITO A'!G$9*'SPESE TEC. AMBITO A'!G$11*G99,0)*IF('SPESE TEC. AMBITO A'!$E$91="X",1,0))</f>
        <v>0</v>
      </c>
      <c r="I99" s="29">
        <v>1.2999999999999999E-2</v>
      </c>
      <c r="J99" s="32">
        <f>IF('SPESE TEC. AMBITO A'!H$4&gt;$F99,($F99-$F98)*(0.03+10/POWER(($F99-$F98),0.4))*'SPESE TEC. AMBITO A'!H$9*I99*IF('SPESE TEC. AMBITO A'!$H$91="X",1,0),IF(('SPESE TEC. AMBITO A'!H$4-$F98)&gt;0,('SPESE TEC. AMBITO A'!H$4-$F98)*(0.03+10/POWER(('SPESE TEC. AMBITO A'!H$4-$F98),0.4))*'SPESE TEC. AMBITO A'!H$9*I99,0)*IF('SPESE TEC. AMBITO A'!$H$91="X",1,0))</f>
        <v>0</v>
      </c>
      <c r="K99" s="29">
        <v>1.2999999999999999E-2</v>
      </c>
      <c r="L99" s="32">
        <f>IF('SPESE TEC. AMBITO A'!I$4&gt;$F99,($F99-$F98)*(0.03+10/POWER(($F99-$F98),0.4))*'SPESE TEC. AMBITO A'!I$9*K99*IF('SPESE TEC. AMBITO A'!$K$91="X",1,0),IF(('SPESE TEC. AMBITO A'!I$4-$F98)&gt;0,('SPESE TEC. AMBITO A'!I$4-$F98)*(0.03+10/POWER(('SPESE TEC. AMBITO A'!I$4-$F98),0.4))*'SPESE TEC. AMBITO A'!I$9*K99*1,0)*IF('SPESE TEC. AMBITO A'!$K$91="X",1,0))</f>
        <v>0</v>
      </c>
      <c r="M99" s="29">
        <v>7.6999999999999999E-2</v>
      </c>
      <c r="N99" s="32">
        <f>IF('SPESE TEC. AMBITO A'!J$4&gt;$F99,($F99-$F98)*(0.03+10/POWER(($F99-$F98),0.4))*'SPESE TEC. AMBITO A'!J$9*'SPESE TEC. AMBITO A'!J$11*M99*IF('SPESE TEC. AMBITO A'!$N$91="X",1,0),IF(('SPESE TEC. AMBITO A'!J$4-$F98)&gt;0,('SPESE TEC. AMBITO A'!J$4-$F98)*(0.03+10/POWER(('SPESE TEC. AMBITO A'!J$4-$F98),0.4))*'SPESE TEC. AMBITO A'!J$9*'SPESE TEC. AMBITO A'!J$11*M99*1,0)*IF('SPESE TEC. AMBITO A'!$N$91="X",1,0))</f>
        <v>0</v>
      </c>
      <c r="O99" s="29">
        <v>7.0999999999999994E-2</v>
      </c>
      <c r="P99" s="31"/>
      <c r="Q99" s="31"/>
      <c r="R99" s="31"/>
      <c r="S99" s="29">
        <v>7.0999999999999994E-2</v>
      </c>
      <c r="T99" s="32">
        <f>IF('SPESE TEC. AMBITO A'!M$4&gt;$F99,($F99-$F98)*(0.03+10/POWER(($F99-$F98),0.4))*'SPESE TEC. AMBITO A'!M$9*S99*IF('SPESE TEC. AMBITO A'!$Q$91="X",1,0),IF(('SPESE TEC. AMBITO A'!M$4-$F98)&gt;0,('SPESE TEC. AMBITO A'!M$4-$F98)*(0.03+10/POWER(('SPESE TEC. AMBITO A'!M$4-$F98),0.4))*'SPESE TEC. AMBITO A'!M$9*S99*1,0)*IF('SPESE TEC. AMBITO A'!$Q$91="X",1,0))</f>
        <v>0</v>
      </c>
      <c r="U99" s="31"/>
      <c r="V99" s="32">
        <f>IF('SPESE TEC. AMBITO A'!N$4&gt;$F99,($F99-$F98)*(0.03+10/POWER(($F99-$F98),0.4))*'SPESE TEC. AMBITO A'!N$9*U99*IF('SPESE TEC. AMBITO A'!$T$91="X",1,0),IF(('SPESE TEC. AMBITO A'!N$4-$F98)&gt;0,('SPESE TEC. AMBITO A'!N$4-$F98)*(0.03+10/POWER(('SPESE TEC. AMBITO A'!N$4-$F98),0.4))*'SPESE TEC. AMBITO A'!N$9*U99*1,0)*IF('SPESE TEC. AMBITO A'!$T$91="X",1,0))</f>
        <v>0</v>
      </c>
      <c r="W99"/>
    </row>
    <row r="100" spans="1:23" s="1" customFormat="1" ht="22.5">
      <c r="A100" s="359"/>
      <c r="B100" s="359"/>
      <c r="C100" s="196" t="s">
        <v>208</v>
      </c>
      <c r="D100" s="401"/>
      <c r="E100" s="196" t="s">
        <v>84</v>
      </c>
      <c r="F100" s="285">
        <v>2500000</v>
      </c>
      <c r="G100" s="29">
        <v>1.7999999999999999E-2</v>
      </c>
      <c r="H100" s="32">
        <f>IF('SPESE TEC. AMBITO A'!G$4&gt;$F100,($F100-$F99)*(0.03+10/POWER(($F100-$F99),0.4))*'SPESE TEC. AMBITO A'!G$9*'SPESE TEC. AMBITO A'!G$11*G100*IF('SPESE TEC. AMBITO A'!$E$91="X",1,0),IF(('SPESE TEC. AMBITO A'!G$4-$F99)&gt;0,('SPESE TEC. AMBITO A'!G$4-$F99)*(0.03+10/POWER(('SPESE TEC. AMBITO A'!G$4-$F99),0.4))*'SPESE TEC. AMBITO A'!G$9*'SPESE TEC. AMBITO A'!G$11*G100,0)*IF('SPESE TEC. AMBITO A'!$E$91="X",1,0))</f>
        <v>0</v>
      </c>
      <c r="I100" s="29">
        <v>1.7999999999999999E-2</v>
      </c>
      <c r="J100" s="32">
        <f>IF('SPESE TEC. AMBITO A'!H$4&gt;$F100,($F100-$F99)*(0.03+10/POWER(($F100-$F99),0.4))*'SPESE TEC. AMBITO A'!H$9*I100*IF('SPESE TEC. AMBITO A'!$H$91="X",1,0),IF(('SPESE TEC. AMBITO A'!H$4-$F99)&gt;0,('SPESE TEC. AMBITO A'!H$4-$F99)*(0.03+10/POWER(('SPESE TEC. AMBITO A'!H$4-$F99),0.4))*'SPESE TEC. AMBITO A'!H$9*I100,0)*IF('SPESE TEC. AMBITO A'!$H$91="X",1,0))</f>
        <v>0</v>
      </c>
      <c r="K100" s="29">
        <v>1.7999999999999999E-2</v>
      </c>
      <c r="L100" s="32">
        <f>IF('SPESE TEC. AMBITO A'!I$4&gt;$F100,($F100-$F99)*(0.03+10/POWER(($F100-$F99),0.4))*'SPESE TEC. AMBITO A'!I$9*K100*IF('SPESE TEC. AMBITO A'!$K$91="X",1,0),IF(('SPESE TEC. AMBITO A'!I$4-$F99)&gt;0,('SPESE TEC. AMBITO A'!I$4-$F99)*(0.03+10/POWER(('SPESE TEC. AMBITO A'!I$4-$F99),0.4))*'SPESE TEC. AMBITO A'!I$9*K100*1,0)*IF('SPESE TEC. AMBITO A'!$K$91="X",1,0))</f>
        <v>0</v>
      </c>
      <c r="M100" s="29">
        <v>2.9000000000000001E-2</v>
      </c>
      <c r="N100" s="32">
        <f>IF('SPESE TEC. AMBITO A'!J$4&gt;$F100,($F100-$F99)*(0.03+10/POWER(($F100-$F99),0.4))*'SPESE TEC. AMBITO A'!J$9*'SPESE TEC. AMBITO A'!J$11*M100*IF('SPESE TEC. AMBITO A'!$N$91="X",1,0),IF(('SPESE TEC. AMBITO A'!J$4-$F99)&gt;0,('SPESE TEC. AMBITO A'!J$4-$F99)*(0.03+10/POWER(('SPESE TEC. AMBITO A'!J$4-$F99),0.4))*'SPESE TEC. AMBITO A'!J$9*'SPESE TEC. AMBITO A'!J$11*M100*1,0)*IF('SPESE TEC. AMBITO A'!$N$91="X",1,0))</f>
        <v>0</v>
      </c>
      <c r="O100" s="29">
        <v>5.1999999999999998E-2</v>
      </c>
      <c r="P100" s="31"/>
      <c r="Q100" s="31"/>
      <c r="R100" s="31"/>
      <c r="S100" s="29">
        <v>5.1999999999999998E-2</v>
      </c>
      <c r="T100" s="32">
        <f>IF('SPESE TEC. AMBITO A'!M$4&gt;$F100,($F100-$F99)*(0.03+10/POWER(($F100-$F99),0.4))*'SPESE TEC. AMBITO A'!M$9*S100*IF('SPESE TEC. AMBITO A'!$Q$91="X",1,0),IF(('SPESE TEC. AMBITO A'!M$4-$F99)&gt;0,('SPESE TEC. AMBITO A'!M$4-$F99)*(0.03+10/POWER(('SPESE TEC. AMBITO A'!M$4-$F99),0.4))*'SPESE TEC. AMBITO A'!M$9*S100*1,0)*IF('SPESE TEC. AMBITO A'!$Q$91="X",1,0))</f>
        <v>0</v>
      </c>
      <c r="U100" s="31"/>
      <c r="V100" s="32">
        <f>IF('SPESE TEC. AMBITO A'!N$4&gt;$F100,($F100-$F99)*(0.03+10/POWER(($F100-$F99),0.4))*'SPESE TEC. AMBITO A'!N$9*U100*IF('SPESE TEC. AMBITO A'!$T$91="X",1,0),IF(('SPESE TEC. AMBITO A'!N$4-$F99)&gt;0,('SPESE TEC. AMBITO A'!N$4-$F99)*(0.03+10/POWER(('SPESE TEC. AMBITO A'!N$4-$F99),0.4))*'SPESE TEC. AMBITO A'!N$9*U100*1,0)*IF('SPESE TEC. AMBITO A'!$T$91="X",1,0))</f>
        <v>0</v>
      </c>
      <c r="W100"/>
    </row>
    <row r="101" spans="1:23" s="1" customFormat="1" ht="22.5">
      <c r="A101" s="359"/>
      <c r="B101" s="359"/>
      <c r="C101" s="196" t="s">
        <v>208</v>
      </c>
      <c r="D101" s="401"/>
      <c r="E101" s="196" t="s">
        <v>84</v>
      </c>
      <c r="F101" s="285">
        <v>10000000</v>
      </c>
      <c r="G101" s="29">
        <v>2.1999999999999999E-2</v>
      </c>
      <c r="H101" s="32">
        <f>IF('SPESE TEC. AMBITO A'!G$4&gt;$F101,($F101-$F100)*(0.03+10/POWER(($F101-$F100),0.4))*'SPESE TEC. AMBITO A'!G$9*'SPESE TEC. AMBITO A'!G$11*G101*IF('SPESE TEC. AMBITO A'!$E$91="X",1,0),IF(('SPESE TEC. AMBITO A'!G$4-$F100)&gt;0,('SPESE TEC. AMBITO A'!G$4-$F100)*(0.03+10/POWER(('SPESE TEC. AMBITO A'!G$4-$F100),0.4))*'SPESE TEC. AMBITO A'!G$9*'SPESE TEC. AMBITO A'!G$11*G101,0)*IF('SPESE TEC. AMBITO A'!$E$91="X",1,0))</f>
        <v>0</v>
      </c>
      <c r="I101" s="29">
        <v>2.1999999999999999E-2</v>
      </c>
      <c r="J101" s="32">
        <f>IF('SPESE TEC. AMBITO A'!H$4&gt;$F101,($F101-$F100)*(0.03+10/POWER(($F101-$F100),0.4))*'SPESE TEC. AMBITO A'!H$9*I101*IF('SPESE TEC. AMBITO A'!$H$91="X",1,0),IF(('SPESE TEC. AMBITO A'!H$4-$F100)&gt;0,('SPESE TEC. AMBITO A'!H$4-$F100)*(0.03+10/POWER(('SPESE TEC. AMBITO A'!H$4-$F100),0.4))*'SPESE TEC. AMBITO A'!H$9*I101,0)*IF('SPESE TEC. AMBITO A'!$H$91="X",1,0))</f>
        <v>0</v>
      </c>
      <c r="K101" s="29">
        <v>2.1999999999999999E-2</v>
      </c>
      <c r="L101" s="32">
        <f>IF('SPESE TEC. AMBITO A'!I$4&gt;$F101,($F101-$F100)*(0.03+10/POWER(($F101-$F100),0.4))*'SPESE TEC. AMBITO A'!I$9*K101*IF('SPESE TEC. AMBITO A'!$K$91="X",1,0),IF(('SPESE TEC. AMBITO A'!I$4-$F100)&gt;0,('SPESE TEC. AMBITO A'!I$4-$F100)*(0.03+10/POWER(('SPESE TEC. AMBITO A'!I$4-$F100),0.4))*'SPESE TEC. AMBITO A'!I$9*K101*1,0)*IF('SPESE TEC. AMBITO A'!$K$91="X",1,0))</f>
        <v>0</v>
      </c>
      <c r="M101" s="29">
        <v>1.9E-2</v>
      </c>
      <c r="N101" s="32">
        <f>IF('SPESE TEC. AMBITO A'!J$4&gt;$F101,($F101-$F100)*(0.03+10/POWER(($F101-$F100),0.4))*'SPESE TEC. AMBITO A'!J$9*'SPESE TEC. AMBITO A'!J$11*M101*IF('SPESE TEC. AMBITO A'!$N$91="X",1,0),IF(('SPESE TEC. AMBITO A'!J$4-$F100)&gt;0,('SPESE TEC. AMBITO A'!J$4-$F100)*(0.03+10/POWER(('SPESE TEC. AMBITO A'!J$4-$F100),0.4))*'SPESE TEC. AMBITO A'!J$9*'SPESE TEC. AMBITO A'!J$11*M101*1,0)*IF('SPESE TEC. AMBITO A'!$N$91="X",1,0))</f>
        <v>0</v>
      </c>
      <c r="O101" s="29">
        <v>4.2000000000000003E-2</v>
      </c>
      <c r="P101" s="31"/>
      <c r="Q101" s="31"/>
      <c r="R101" s="31"/>
      <c r="S101" s="29">
        <v>4.2000000000000003E-2</v>
      </c>
      <c r="T101" s="32">
        <f>IF('SPESE TEC. AMBITO A'!M$4&gt;$F101,($F101-$F100)*(0.03+10/POWER(($F101-$F100),0.4))*'SPESE TEC. AMBITO A'!M$9*S101*IF('SPESE TEC. AMBITO A'!$Q$91="X",1,0),IF(('SPESE TEC. AMBITO A'!M$4-$F100)&gt;0,('SPESE TEC. AMBITO A'!M$4-$F100)*(0.03+10/POWER(('SPESE TEC. AMBITO A'!M$4-$F100),0.4))*'SPESE TEC. AMBITO A'!M$9*S101*1,0)*IF('SPESE TEC. AMBITO A'!$Q$91="X",1,0))</f>
        <v>0</v>
      </c>
      <c r="U101" s="31"/>
      <c r="V101" s="32">
        <f>IF('SPESE TEC. AMBITO A'!N$4&gt;$F101,($F101-$F100)*(0.03+10/POWER(($F101-$F100),0.4))*'SPESE TEC. AMBITO A'!N$9*U101*IF('SPESE TEC. AMBITO A'!$T$91="X",1,0),IF(('SPESE TEC. AMBITO A'!N$4-$F100)&gt;0,('SPESE TEC. AMBITO A'!N$4-$F100)*(0.03+10/POWER(('SPESE TEC. AMBITO A'!N$4-$F100),0.4))*'SPESE TEC. AMBITO A'!N$9*U101*1,0)*IF('SPESE TEC. AMBITO A'!$T$91="X",1,0))</f>
        <v>0</v>
      </c>
      <c r="W101"/>
    </row>
    <row r="102" spans="1:23" s="1" customFormat="1" ht="22.5">
      <c r="A102" s="359"/>
      <c r="B102" s="359"/>
      <c r="C102" s="196" t="s">
        <v>208</v>
      </c>
      <c r="D102" s="401"/>
      <c r="E102" s="196" t="s">
        <v>63</v>
      </c>
      <c r="F102" s="286"/>
      <c r="G102" s="29">
        <v>2.1000000000000001E-2</v>
      </c>
      <c r="H102" s="32">
        <f>IF('SPESE TEC. AMBITO A'!G$4&gt;$F101,('SPESE TEC. AMBITO A'!G$4-$F101)*(0.03+10/POWER(('SPESE TEC. AMBITO A'!G$4-$F101),0.4))*'SPESE TEC. AMBITO A'!G$9*'SPESE TEC. AMBITO A'!G$11*G102*IF('SPESE TEC. AMBITO A'!$E$91="X",1,0),0)*IF('SPESE TEC. AMBITO A'!$E$91="X",1,0)</f>
        <v>0</v>
      </c>
      <c r="I102" s="29">
        <v>2.1000000000000001E-2</v>
      </c>
      <c r="J102" s="32">
        <f>IF('SPESE TEC. AMBITO A'!H$4&gt;$F101,('SPESE TEC. AMBITO A'!H$4-$F101)*(0.03+10/POWER(('SPESE TEC. AMBITO A'!H$4-$F101),0.4))*'SPESE TEC. AMBITO A'!H$9*I102*IF('SPESE TEC. AMBITO A'!$H$91="X",1,0),0)*IF('SPESE TEC. AMBITO A'!$H$91="X",1,0)</f>
        <v>0</v>
      </c>
      <c r="K102" s="29">
        <v>2.1000000000000001E-2</v>
      </c>
      <c r="L102" s="32">
        <f>IF('SPESE TEC. AMBITO A'!I$4&gt;$F101,('SPESE TEC. AMBITO A'!I$4-$F101)*(0.03+10/POWER(('SPESE TEC. AMBITO A'!I$4-$F101),0.4))*'SPESE TEC. AMBITO A'!I$9*K102*1*IF('SPESE TEC. AMBITO A'!$K$91="X",1,0),0)*IF('SPESE TEC. AMBITO A'!$K$91="X",1,0)</f>
        <v>0</v>
      </c>
      <c r="M102" s="29">
        <v>1.7999999999999999E-2</v>
      </c>
      <c r="N102" s="32">
        <f>IF('SPESE TEC. AMBITO A'!J$4&gt;$F101,('SPESE TEC. AMBITO A'!J$4-$F101)*(0.03+10/POWER(('SPESE TEC. AMBITO A'!J$4-$F101),0.4))*'SPESE TEC. AMBITO A'!J$9*'SPESE TEC. AMBITO A'!J$11*M102*1*IF('SPESE TEC. AMBITO A'!$N$91="X",1,0),0)*IF('SPESE TEC. AMBITO A'!$N$91="X",1,0)</f>
        <v>0</v>
      </c>
      <c r="O102" s="29">
        <v>0.03</v>
      </c>
      <c r="P102" s="31"/>
      <c r="Q102" s="31"/>
      <c r="R102" s="31"/>
      <c r="S102" s="29">
        <v>0.03</v>
      </c>
      <c r="T102" s="32">
        <f>IF('SPESE TEC. AMBITO A'!M$4&gt;$F101,('SPESE TEC. AMBITO A'!M$4-$F101)*(0.03+10/POWER(('SPESE TEC. AMBITO A'!M$4-$F101),0.4))*'SPESE TEC. AMBITO A'!M$9*S102*1*IF('SPESE TEC. AMBITO A'!$Q$91="X",1,0),0)*IF('SPESE TEC. AMBITO A'!$Q$91="X",1,0)</f>
        <v>0</v>
      </c>
      <c r="U102" s="31"/>
      <c r="V102" s="32">
        <f>IF('SPESE TEC. AMBITO A'!N$4&gt;$F101,('SPESE TEC. AMBITO A'!N$4-$F101)*(0.03+10/POWER(('SPESE TEC. AMBITO A'!N$4-$F101),0.4))*'SPESE TEC. AMBITO A'!N$9*U102*1*IF('SPESE TEC. AMBITO A'!$T$91="X",1,0),0)*IF('SPESE TEC. AMBITO A'!$T$91="X",1,0)</f>
        <v>0</v>
      </c>
      <c r="W102"/>
    </row>
    <row r="103" spans="1:23" s="1" customFormat="1" ht="15" customHeight="1">
      <c r="A103" s="359"/>
      <c r="B103" s="359"/>
      <c r="C103" s="196" t="s">
        <v>209</v>
      </c>
      <c r="D103" s="401" t="s">
        <v>222</v>
      </c>
      <c r="E103" s="402"/>
      <c r="F103" s="402"/>
      <c r="G103" s="29">
        <v>0.06</v>
      </c>
      <c r="H103" s="32">
        <f>IF('SPESE TEC. AMBITO A'!$E92="X",1,0)*'SPESE TEC. AMBITO A'!G$4*'SPESE TEC. AMBITO A'!G$7*'SPESE TEC. AMBITO A'!G$9*'SPESE TEC. AMBITO A'!G$11*G103</f>
        <v>0</v>
      </c>
      <c r="I103" s="29">
        <v>0.06</v>
      </c>
      <c r="J103" s="32">
        <f>IF('SPESE TEC. AMBITO A'!$H92="X",1,0)*'SPESE TEC. AMBITO A'!H$4*'SPESE TEC. AMBITO A'!H$7*'SPESE TEC. AMBITO A'!H$9*'SPESE TEC. AMBITO A'!H$11*I103</f>
        <v>0</v>
      </c>
      <c r="K103" s="29">
        <v>0.06</v>
      </c>
      <c r="L103" s="32">
        <f>IF('SPESE TEC. AMBITO A'!$K92="X",1,0)*'SPESE TEC. AMBITO A'!I$4*'SPESE TEC. AMBITO A'!I$7*'SPESE TEC. AMBITO A'!I$9*'SPESE TEC. AMBITO A'!I$11*K103*1</f>
        <v>0</v>
      </c>
      <c r="M103" s="29">
        <v>0.06</v>
      </c>
      <c r="N103" s="32">
        <f>IF('SPESE TEC. AMBITO A'!$N92="X",1,0)*'SPESE TEC. AMBITO A'!J$4*'SPESE TEC. AMBITO A'!J$7*'SPESE TEC. AMBITO A'!J$9*'SPESE TEC. AMBITO A'!J$11*M103*1</f>
        <v>0</v>
      </c>
      <c r="O103" s="29">
        <v>0.06</v>
      </c>
      <c r="P103" s="31"/>
      <c r="Q103" s="29">
        <v>0.06</v>
      </c>
      <c r="R103" s="31"/>
      <c r="S103" s="29">
        <v>0.06</v>
      </c>
      <c r="T103" s="32">
        <f>IF('SPESE TEC. AMBITO A'!$Q92="X",1,0)*'SPESE TEC. AMBITO A'!M$4*'SPESE TEC. AMBITO A'!M$7*'SPESE TEC. AMBITO A'!M$9*'SPESE TEC. AMBITO A'!M$11*S103*1</f>
        <v>0</v>
      </c>
      <c r="U103" s="31"/>
      <c r="V103" s="32">
        <f>IF('SPESE TEC. AMBITO A'!$T92="X",1,0)*'SPESE TEC. AMBITO A'!N$4*'SPESE TEC. AMBITO A'!N$7*'SPESE TEC. AMBITO A'!N$9*'SPESE TEC. AMBITO A'!N$11*U103*1</f>
        <v>0</v>
      </c>
      <c r="W103"/>
    </row>
    <row r="104" spans="1:23" s="1" customFormat="1" ht="15" customHeight="1">
      <c r="A104" s="359"/>
      <c r="B104" s="359"/>
      <c r="C104" s="196" t="s">
        <v>210</v>
      </c>
      <c r="D104" s="401" t="s">
        <v>251</v>
      </c>
      <c r="E104" s="401"/>
      <c r="F104" s="401"/>
      <c r="G104" s="29">
        <v>0.14000000000000001</v>
      </c>
      <c r="H104" s="32">
        <f>IF('SPESE TEC. AMBITO A'!$E93="X",1,0)*'SPESE TEC. AMBITO A'!G$4*'SPESE TEC. AMBITO A'!G$7*'SPESE TEC. AMBITO A'!G$9*'SPESE TEC. AMBITO A'!G$11*G104</f>
        <v>0</v>
      </c>
      <c r="I104" s="29">
        <v>0.09</v>
      </c>
      <c r="J104" s="32">
        <f>IF('SPESE TEC. AMBITO A'!$H93="X",1,0)*'SPESE TEC. AMBITO A'!H$4*'SPESE TEC. AMBITO A'!H$7*'SPESE TEC. AMBITO A'!H$9*'SPESE TEC. AMBITO A'!H$11*I104</f>
        <v>0</v>
      </c>
      <c r="K104" s="29">
        <v>0.15</v>
      </c>
      <c r="L104" s="32">
        <f>IF('SPESE TEC. AMBITO A'!$K93="X",1,0)*'SPESE TEC. AMBITO A'!I$4*'SPESE TEC. AMBITO A'!I$7*'SPESE TEC. AMBITO A'!I$9*'SPESE TEC. AMBITO A'!I$11*K104*1</f>
        <v>0</v>
      </c>
      <c r="M104" s="29">
        <v>0.12</v>
      </c>
      <c r="N104" s="32">
        <f>IF('SPESE TEC. AMBITO A'!$N93="X",1,0)*'SPESE TEC. AMBITO A'!J$4*'SPESE TEC. AMBITO A'!J$7*'SPESE TEC. AMBITO A'!J$9*'SPESE TEC. AMBITO A'!J$11*M104*1</f>
        <v>0</v>
      </c>
      <c r="O104" s="29">
        <v>0.12</v>
      </c>
      <c r="P104" s="31"/>
      <c r="Q104" s="29">
        <v>0.11</v>
      </c>
      <c r="R104" s="31"/>
      <c r="S104" s="29">
        <v>0.12</v>
      </c>
      <c r="T104" s="32">
        <f>IF('SPESE TEC. AMBITO A'!$Q93="X",1,0)*'SPESE TEC. AMBITO A'!M$4*'SPESE TEC. AMBITO A'!M$7*'SPESE TEC. AMBITO A'!M$9*'SPESE TEC. AMBITO A'!M$11*S104*1</f>
        <v>0</v>
      </c>
      <c r="U104" s="31"/>
      <c r="V104" s="32">
        <f>IF('SPESE TEC. AMBITO A'!$T93="X",1,0)*'SPESE TEC. AMBITO A'!N$4*'SPESE TEC. AMBITO A'!N$7*'SPESE TEC. AMBITO A'!N$9*'SPESE TEC. AMBITO A'!N$11*U104*1</f>
        <v>0</v>
      </c>
      <c r="W104"/>
    </row>
    <row r="105" spans="1:23" s="1" customFormat="1" ht="15" customHeight="1">
      <c r="A105" s="359"/>
      <c r="B105" s="359"/>
      <c r="C105" s="196" t="s">
        <v>211</v>
      </c>
      <c r="D105" s="401" t="s">
        <v>252</v>
      </c>
      <c r="E105" s="401"/>
      <c r="F105" s="401"/>
      <c r="G105" s="29">
        <v>0.41</v>
      </c>
      <c r="H105" s="32">
        <f>IF('SPESE TEC. AMBITO A'!$E94="X",1,0)*'SPESE TEC. AMBITO A'!G$4*'SPESE TEC. AMBITO A'!G$7*'SPESE TEC. AMBITO A'!G$9*'SPESE TEC. AMBITO A'!G$11*G105</f>
        <v>0</v>
      </c>
      <c r="I105" s="29">
        <v>0.43</v>
      </c>
      <c r="J105" s="32">
        <f>IF('SPESE TEC. AMBITO A'!$H94="X",1,0)*'SPESE TEC. AMBITO A'!H$4*'SPESE TEC. AMBITO A'!H$7*'SPESE TEC. AMBITO A'!H$9*'SPESE TEC. AMBITO A'!H$11*I105</f>
        <v>0</v>
      </c>
      <c r="K105" s="29">
        <v>0.32</v>
      </c>
      <c r="L105" s="32">
        <f>IF('SPESE TEC. AMBITO A'!$K94="X",1,0)*'SPESE TEC. AMBITO A'!I$4*'SPESE TEC. AMBITO A'!I$7*'SPESE TEC. AMBITO A'!I$9*'SPESE TEC. AMBITO A'!I$11*K105*1</f>
        <v>0</v>
      </c>
      <c r="M105" s="29">
        <v>0.42</v>
      </c>
      <c r="N105" s="32">
        <f>IF('SPESE TEC. AMBITO A'!$N94="X",1,0)*'SPESE TEC. AMBITO A'!J$4*'SPESE TEC. AMBITO A'!J$7*'SPESE TEC. AMBITO A'!J$9*'SPESE TEC. AMBITO A'!J$11*M105*1</f>
        <v>0</v>
      </c>
      <c r="O105" s="29">
        <v>0.34</v>
      </c>
      <c r="P105" s="31"/>
      <c r="Q105" s="29">
        <v>0.4</v>
      </c>
      <c r="R105" s="31"/>
      <c r="S105" s="29">
        <v>0.42</v>
      </c>
      <c r="T105" s="32">
        <f>IF('SPESE TEC. AMBITO A'!$Q94="X",1,0)*'SPESE TEC. AMBITO A'!M$4*'SPESE TEC. AMBITO A'!M$7*'SPESE TEC. AMBITO A'!M$9*'SPESE TEC. AMBITO A'!M$11*S105*1</f>
        <v>0</v>
      </c>
      <c r="U105" s="31"/>
      <c r="V105" s="32">
        <f>IF('SPESE TEC. AMBITO A'!$T94="X",1,0)*'SPESE TEC. AMBITO A'!N$4*'SPESE TEC. AMBITO A'!N$7*'SPESE TEC. AMBITO A'!N$9*'SPESE TEC. AMBITO A'!N$11*U105*1</f>
        <v>0</v>
      </c>
      <c r="W105"/>
    </row>
    <row r="106" spans="1:23" s="1" customFormat="1" ht="15" customHeight="1">
      <c r="A106" s="359"/>
      <c r="B106" s="359"/>
      <c r="C106" s="196" t="s">
        <v>212</v>
      </c>
      <c r="D106" s="401" t="s">
        <v>213</v>
      </c>
      <c r="E106" s="196" t="s">
        <v>62</v>
      </c>
      <c r="F106" s="288">
        <v>500000</v>
      </c>
      <c r="G106" s="29">
        <v>0.06</v>
      </c>
      <c r="H106" s="32">
        <f>IF('SPESE TEC. AMBITO A'!G$5&gt;$F106,$F106*(0.03+10/POWER($F106,0.4))*'SPESE TEC. AMBITO A'!G$9*'SPESE TEC. AMBITO A'!G$11*G106*IF('SPESE TEC. AMBITO A'!$E$95="X",1,0),'SPESE TEC. AMBITO A'!G$4*'SPESE TEC. AMBITO A'!G$7*'SPESE TEC. AMBITO A'!G$9*'SPESE TEC. AMBITO A'!G$11*G106)*IF('SPESE TEC. AMBITO A'!$E$95="X",1,0)</f>
        <v>844.21629547855241</v>
      </c>
      <c r="I106" s="29">
        <v>0.06</v>
      </c>
      <c r="J106" s="32">
        <f>IF('SPESE TEC. AMBITO A'!H$5&gt;$F106,$F106*(0.03+10/POWER($F106,0.4))*'SPESE TEC. AMBITO A'!H$9*'SPESE TEC. AMBITO A'!H$11*I106*IF('SPESE TEC. AMBITO A'!$H$95="X",1,0),'SPESE TEC. AMBITO A'!H$5*'SPESE TEC. AMBITO A'!H$7*'SPESE TEC. AMBITO A'!H$9*'SPESE TEC. AMBITO A'!H$11*I106)*IF('SPESE TEC. AMBITO A'!$H$95="X",1,0)</f>
        <v>0</v>
      </c>
      <c r="K106" s="29">
        <v>4.4999999999999998E-2</v>
      </c>
      <c r="L106" s="32">
        <f>IF('SPESE TEC. AMBITO A'!I$5&gt;$F106,$F106*(0.03+10/POWER($F106,0.4))*'SPESE TEC. AMBITO A'!I$9*'SPESE TEC. AMBITO A'!I$11*K106*IF('SPESE TEC. AMBITO A'!$K$95="X",1,0),'SPESE TEC. AMBITO A'!I$5*'SPESE TEC. AMBITO A'!I$7*'SPESE TEC. AMBITO A'!I$9*'SPESE TEC. AMBITO A'!I$11*K106)*IF('SPESE TEC. AMBITO A'!$K$95="X",1,0)</f>
        <v>0</v>
      </c>
      <c r="M106" s="29">
        <v>4.4999999999999998E-2</v>
      </c>
      <c r="N106" s="32">
        <f>IF('SPESE TEC. AMBITO A'!J$5&gt;$F106,$F106*(0.03+10/POWER($F106,0.4))*'SPESE TEC. AMBITO A'!J$9*M106*IF('SPESE TEC. AMBITO A'!$N$95="X",1,0),'SPESE TEC. AMBITO A'!J$5*'SPESE TEC. AMBITO A'!J$7*'SPESE TEC. AMBITO A'!J$9*M106*1)*IF('SPESE TEC. AMBITO A'!$N$95="X",1,0)</f>
        <v>0</v>
      </c>
      <c r="O106" s="29">
        <v>4.4999999999999998E-2</v>
      </c>
      <c r="P106" s="31"/>
      <c r="Q106" s="29">
        <v>4.4999999999999998E-2</v>
      </c>
      <c r="R106" s="31"/>
      <c r="S106" s="29">
        <v>4.4999999999999998E-2</v>
      </c>
      <c r="T106" s="182">
        <f>IF('SPESE TEC. AMBITO A'!M$5&gt;$F106,$F106*(0.03+10/POWER($F106,0.4))*'SPESE TEC. AMBITO A'!M$9*'SPESE TEC. AMBITO A'!M$11*S106*IF('SPESE TEC. AMBITO A'!$Q$95="X",1,0),'SPESE TEC. AMBITO A'!M$5*'SPESE TEC. AMBITO A'!M$7*'SPESE TEC. AMBITO A'!M$9*'SPESE TEC. AMBITO A'!M$11*S106)*IF('SPESE TEC. AMBITO A'!$Q$95="X",1,0)*IF('SPESE TEC. AMBITO A'!G$6&lt;5000,1/0.65,1)</f>
        <v>0</v>
      </c>
      <c r="U106" s="31"/>
      <c r="V106" s="32">
        <f>IF('SPESE TEC. AMBITO A'!N$5&gt;$F106,$F106*(0.03+10/POWER($F106,0.4))*'SPESE TEC. AMBITO A'!N$9*U106*IF('SPESE TEC. AMBITO A'!$T$95="X",1,0),'SPESE TEC. AMBITO A'!N$5*'SPESE TEC. AMBITO A'!N$7*'SPESE TEC. AMBITO A'!N$9*U106*1)*IF('SPESE TEC. AMBITO A'!$T$95="X",1,0)</f>
        <v>0</v>
      </c>
      <c r="W106"/>
    </row>
    <row r="107" spans="1:23" s="1" customFormat="1" ht="22.5">
      <c r="A107" s="359"/>
      <c r="B107" s="359"/>
      <c r="C107" s="287" t="s">
        <v>212</v>
      </c>
      <c r="D107" s="401"/>
      <c r="E107" s="196" t="s">
        <v>63</v>
      </c>
      <c r="F107" s="286"/>
      <c r="G107" s="29">
        <v>1.2E-2</v>
      </c>
      <c r="H107" s="32">
        <f>IF('SPESE TEC. AMBITO A'!G$5&gt;$F106,('SPESE TEC. AMBITO A'!G$5-$F106)*(0.03+10/POWER(('SPESE TEC. AMBITO A'!G$5-$F106),0.4))*'SPESE TEC. AMBITO A'!G$9*'SPESE TEC. AMBITO A'!G$11*G107*IF('SPESE TEC. AMBITO A'!$E$95="X",1,0),0)*IF('SPESE TEC. AMBITO A'!$E$95="X",1,0)</f>
        <v>0</v>
      </c>
      <c r="I107" s="29">
        <v>1.2E-2</v>
      </c>
      <c r="J107" s="32">
        <f>IF('SPESE TEC. AMBITO A'!H$5&gt;$F106,('SPESE TEC. AMBITO A'!H$5-$F106)*(0.03+10/POWER(('SPESE TEC. AMBITO A'!H$5-$F106),0.4))*'SPESE TEC. AMBITO A'!H$9*'SPESE TEC. AMBITO A'!H$11*I107*IF('SPESE TEC. AMBITO A'!$H$95="X",1,0),0)*IF('SPESE TEC. AMBITO A'!$H$95="X",1,0)</f>
        <v>0</v>
      </c>
      <c r="K107" s="29">
        <v>0.09</v>
      </c>
      <c r="L107" s="32">
        <f>IF('SPESE TEC. AMBITO A'!I$5&gt;$F106,('SPESE TEC. AMBITO A'!I$5-$F106)*(0.03+10/POWER(('SPESE TEC. AMBITO A'!I$5-$F106),0.4))*'SPESE TEC. AMBITO A'!I$9*'SPESE TEC. AMBITO A'!I$11*K107*IF('SPESE TEC. AMBITO A'!$E$95="X",1,0),0)*IF('SPESE TEC. AMBITO A'!$E$95="X",1,0)</f>
        <v>0</v>
      </c>
      <c r="M107" s="29">
        <v>0.09</v>
      </c>
      <c r="N107" s="32">
        <f>IF('SPESE TEC. AMBITO A'!J$5&gt;$F106,('SPESE TEC. AMBITO A'!J$5-$F106)*(0.03+10/POWER(('SPESE TEC. AMBITO A'!J$5-$F106),0.4))*'SPESE TEC. AMBITO A'!J$9*'SPESE TEC. AMBITO A'!J$11*M107*IF('SPESE TEC. AMBITO A'!$N$95="X",1,0),0)*IF('SPESE TEC. AMBITO A'!$N$95="X",1,0)</f>
        <v>0</v>
      </c>
      <c r="O107" s="29">
        <v>0.09</v>
      </c>
      <c r="P107" s="31"/>
      <c r="Q107" s="29">
        <v>0.09</v>
      </c>
      <c r="R107" s="31"/>
      <c r="S107" s="29">
        <v>0.09</v>
      </c>
      <c r="T107" s="182">
        <f>IF('SPESE TEC. AMBITO A'!M$5&gt;$F106,('SPESE TEC. AMBITO A'!M$5-$F106)*(0.03+10/POWER(('SPESE TEC. AMBITO A'!M$5-$F106),0.4))*'SPESE TEC. AMBITO A'!M$9*'SPESE TEC. AMBITO A'!M$11*S107*IF('SPESE TEC. AMBITO A'!$Q$95="X",1,0),0)*IF('SPESE TEC. AMBITO A'!$Q$95="X",1,0)*IF('SPESE TEC. AMBITO A'!G$6&lt;5000,1/0.65,1)</f>
        <v>0</v>
      </c>
      <c r="U107" s="31"/>
      <c r="V107" s="32">
        <f>IF('SPESE TEC. AMBITO A'!N$5&gt;$F106,('SPESE TEC. AMBITO A'!N$5-$F106)*(0.03+10/POWER(('SPESE TEC. AMBITO A'!N$5-$F106),0.4))*'SPESE TEC. AMBITO A'!N$9*'SPESE TEC. AMBITO A'!N$11*U107*IF('SPESE TEC. AMBITO A'!$E$95="X",1,0),0)*IF('SPESE TEC. AMBITO A'!$T$95="X",1,0)</f>
        <v>0</v>
      </c>
      <c r="W107"/>
    </row>
    <row r="108" spans="1:23" s="1" customFormat="1" ht="15" customHeight="1">
      <c r="A108" s="359"/>
      <c r="B108" s="359"/>
      <c r="C108" s="287" t="s">
        <v>214</v>
      </c>
      <c r="D108" s="401" t="s">
        <v>215</v>
      </c>
      <c r="E108" s="196" t="s">
        <v>62</v>
      </c>
      <c r="F108" s="288">
        <v>500000</v>
      </c>
      <c r="G108" s="29">
        <v>4.4999999999999998E-2</v>
      </c>
      <c r="H108" s="32">
        <f>IF('SPESE TEC. AMBITO A'!G$6&gt;$F108,$F108*(0.03+10/POWER($F108,0.4))*'SPESE TEC. AMBITO A'!G$9*'SPESE TEC. AMBITO A'!G$11*G108*IF('SPESE TEC. AMBITO A'!$E$96="X",1,0),'SPESE TEC. AMBITO A'!G$6*'SPESE TEC. AMBITO A'!G$7*'SPESE TEC. AMBITO A'!G$9*'SPESE TEC. AMBITO A'!G$11*G108)*IF('SPESE TEC. AMBITO A'!$E$96="X",1,0)</f>
        <v>0</v>
      </c>
      <c r="I108" s="29">
        <v>4.4999999999999998E-2</v>
      </c>
      <c r="J108" s="32">
        <f>IF('SPESE TEC. AMBITO A'!H$6&gt;$F108,$F108*(0.03+10/POWER($F108,0.4))*'SPESE TEC. AMBITO A'!H$9*'SPESE TEC. AMBITO A'!H$11*I108*IF('SPESE TEC. AMBITO A'!$H$96="X",1,0),'SPESE TEC. AMBITO A'!H$6*'SPESE TEC. AMBITO A'!H$7*'SPESE TEC. AMBITO A'!H$9*'SPESE TEC. AMBITO A'!H$11*I108)*IF('SPESE TEC. AMBITO A'!$H$96="X",1,0)</f>
        <v>0</v>
      </c>
      <c r="K108" s="29">
        <v>3.5000000000000003E-2</v>
      </c>
      <c r="L108" s="32">
        <f>IF('SPESE TEC. AMBITO A'!I$6&gt;$F108,$F108*(0.03+10/POWER($F108,0.4))*'SPESE TEC. AMBITO A'!I$9*K108*IF('SPESE TEC. AMBITO A'!$K$96="X",1,0),'SPESE TEC. AMBITO A'!I$6*'SPESE TEC. AMBITO A'!I$7*'SPESE TEC. AMBITO A'!I$9*K108*1)*IF('SPESE TEC. AMBITO A'!$K$96="X",1,0)</f>
        <v>0</v>
      </c>
      <c r="M108" s="29">
        <v>3.5000000000000003E-2</v>
      </c>
      <c r="N108" s="32">
        <f>IF('SPESE TEC. AMBITO A'!J$6&gt;$F108,$F108*(0.03+10/POWER($F108,0.4))*'SPESE TEC. AMBITO A'!J$9*M108*IF('SPESE TEC. AMBITO A'!$N$96="X",1,0),'SPESE TEC. AMBITO A'!J$6*'SPESE TEC. AMBITO A'!J$7*'SPESE TEC. AMBITO A'!J$9*M108*1)*IF('SPESE TEC. AMBITO A'!$N$96="X",1,0)</f>
        <v>0</v>
      </c>
      <c r="O108" s="29">
        <v>3.5000000000000003E-2</v>
      </c>
      <c r="P108" s="31"/>
      <c r="Q108" s="29">
        <v>3.5000000000000003E-2</v>
      </c>
      <c r="R108" s="31"/>
      <c r="S108" s="29">
        <v>3.5000000000000003E-2</v>
      </c>
      <c r="T108" s="182">
        <f>IF('SPESE TEC. AMBITO A'!M$5&gt;$F108,$F108*(0.03+10/POWER($F108,0.4))*'SPESE TEC. AMBITO A'!M$9*'SPESE TEC. AMBITO A'!M$11*S108*IF('SPESE TEC. AMBITO A'!$Q$96="X",1,0),'SPESE TEC. AMBITO A'!M$5*'SPESE TEC. AMBITO A'!M$7*'SPESE TEC. AMBITO A'!M$9*'SPESE TEC. AMBITO A'!M$11*S108)*IF('SPESE TEC. AMBITO A'!$Q$96="X",1,0)*IF('SPESE TEC. AMBITO A'!G$6&lt;5000,1/0.65,1)</f>
        <v>0</v>
      </c>
      <c r="U108" s="31"/>
      <c r="V108" s="32">
        <f>IF('SPESE TEC. AMBITO A'!N$6&gt;$F108,$F108*(0.03+10/POWER($F108,0.4))*'SPESE TEC. AMBITO A'!N$9*U108*IF('SPESE TEC. AMBITO A'!$T$96="X",1,0),'SPESE TEC. AMBITO A'!N$6*'SPESE TEC. AMBITO A'!N$7*'SPESE TEC. AMBITO A'!N$9*U108*1)*IF('SPESE TEC. AMBITO A'!$T$96="T",1,0)</f>
        <v>0</v>
      </c>
      <c r="W108"/>
    </row>
    <row r="109" spans="1:23" s="1" customFormat="1" ht="22.5">
      <c r="A109" s="359"/>
      <c r="B109" s="359"/>
      <c r="C109" s="287" t="s">
        <v>214</v>
      </c>
      <c r="D109" s="401"/>
      <c r="E109" s="196" t="s">
        <v>63</v>
      </c>
      <c r="F109" s="286"/>
      <c r="G109" s="29">
        <v>0.09</v>
      </c>
      <c r="H109" s="32">
        <f>IF('SPESE TEC. AMBITO A'!G$6&gt;$F108,('SPESE TEC. AMBITO A'!G$6-$F108)*(0.03+10/POWER(('SPESE TEC. AMBITO A'!G$6-$F108),0.4))*'SPESE TEC. AMBITO A'!G$9*'SPESE TEC. AMBITO A'!G$11*G109*IF('SPESE TEC. AMBITO A'!$E$96="X",1,0),0)*IF('SPESE TEC. AMBITO A'!$E$96="X",1,0)</f>
        <v>0</v>
      </c>
      <c r="I109" s="29">
        <v>0.09</v>
      </c>
      <c r="J109" s="32">
        <f>IF('SPESE TEC. AMBITO A'!H$6&gt;$F108,('SPESE TEC. AMBITO A'!H$6-$F108)*(0.03+10/POWER(('SPESE TEC. AMBITO A'!H$6-$F108),0.4))*'SPESE TEC. AMBITO A'!H$9*'SPESE TEC. AMBITO A'!H$11*I109*IF('SPESE TEC. AMBITO A'!$H$96="X",1,0),0)*IF('SPESE TEC. AMBITO A'!$H$96="X",1,0)</f>
        <v>0</v>
      </c>
      <c r="K109" s="29">
        <v>7.0000000000000007E-2</v>
      </c>
      <c r="L109" s="32">
        <f>IF('SPESE TEC. AMBITO A'!I$6&gt;$F108,('SPESE TEC. AMBITO A'!I$6-$F108)*(0.03+10/POWER(('SPESE TEC. AMBITO A'!I$6-$F108),0.4))*'SPESE TEC. AMBITO A'!I$9*K109*1*IF('SPESE TEC. AMBITO A'!$K$96="X",1,0),0)*IF('SPESE TEC. AMBITO A'!$K$96="X",1,0)</f>
        <v>0</v>
      </c>
      <c r="M109" s="29">
        <v>7.0000000000000007E-2</v>
      </c>
      <c r="N109" s="32">
        <f>IF('SPESE TEC. AMBITO A'!J$6&gt;$F108,('SPESE TEC. AMBITO A'!J$6-$F108)*(0.03+10/POWER(('SPESE TEC. AMBITO A'!J$6-$F108),0.4))*'SPESE TEC. AMBITO A'!J$9*'SPESE TEC. AMBITO A'!J$11*M109*IF('SPESE TEC. AMBITO A'!$E$96="X",1,0),0)*IF('SPESE TEC. AMBITO A'!$E$96="X",1,0)</f>
        <v>0</v>
      </c>
      <c r="O109" s="29">
        <v>7.0000000000000007E-2</v>
      </c>
      <c r="P109" s="31"/>
      <c r="Q109" s="29">
        <v>7.0000000000000007E-2</v>
      </c>
      <c r="R109" s="31"/>
      <c r="S109" s="29">
        <v>7.0000000000000007E-2</v>
      </c>
      <c r="T109" s="182">
        <f>IF('SPESE TEC. AMBITO A'!M$5&gt;$F108,('SPESE TEC. AMBITO A'!M$5-$F108)*(0.03+10/POWER(('SPESE TEC. AMBITO A'!M$5-$F108),0.4))*'SPESE TEC. AMBITO A'!M$9*'SPESE TEC. AMBITO A'!M$11*S109*IF('SPESE TEC. AMBITO A'!$Q$96="X",1,0),0)*IF('SPESE TEC. AMBITO A'!$Q$96="X",1,0)*IF('SPESE TEC. AMBITO A'!G$6&lt;5000,1/0.65,1)</f>
        <v>0</v>
      </c>
      <c r="U109" s="31"/>
      <c r="V109" s="32">
        <f>IF('SPESE TEC. AMBITO A'!N$6&gt;$F108,('SPESE TEC. AMBITO A'!N$6-$F108)*(0.03+10/POWER(('SPESE TEC. AMBITO A'!N$6-$F108),0.4))*'SPESE TEC. AMBITO A'!N$9*'SPESE TEC. AMBITO A'!N$11*U109*IF('SPESE TEC. AMBITO A'!$E$96="X",1,0),0)*IF('SPESE TEC. AMBITO A'!$T$96="X",1,0)</f>
        <v>0</v>
      </c>
      <c r="W109"/>
    </row>
    <row r="110" spans="1:23" s="1" customFormat="1" ht="15" customHeight="1">
      <c r="A110" s="359"/>
      <c r="B110" s="359"/>
      <c r="C110" s="287" t="s">
        <v>216</v>
      </c>
      <c r="D110" s="401" t="s">
        <v>217</v>
      </c>
      <c r="E110" s="401"/>
      <c r="F110" s="401"/>
      <c r="G110" s="29">
        <v>0.04</v>
      </c>
      <c r="H110" s="32">
        <f>IF('SPESE TEC. AMBITO A'!$E97="X",1,0)*'SPESE TEC. AMBITO A'!G$4*'SPESE TEC. AMBITO A'!G$7*'SPESE TEC. AMBITO A'!G$9*'SPESE TEC. AMBITO A'!G$11*G110</f>
        <v>562.81086365236831</v>
      </c>
      <c r="I110" s="29">
        <v>0.04</v>
      </c>
      <c r="J110" s="32">
        <f>IF('SPESE TEC. AMBITO A'!$H97="X",1,0)*'SPESE TEC. AMBITO A'!H$4*'SPESE TEC. AMBITO A'!H$7*'SPESE TEC. AMBITO A'!H$9*'SPESE TEC. AMBITO A'!H$11*I110</f>
        <v>0</v>
      </c>
      <c r="K110" s="29">
        <v>0.04</v>
      </c>
      <c r="L110" s="32">
        <f>IF('SPESE TEC. AMBITO A'!$K97="X",1,0)*'SPESE TEC. AMBITO A'!I$4*'SPESE TEC. AMBITO A'!I$7*'SPESE TEC. AMBITO A'!I$9*'SPESE TEC. AMBITO A'!I$11*K110*1</f>
        <v>0</v>
      </c>
      <c r="M110" s="29">
        <v>0.04</v>
      </c>
      <c r="N110" s="32">
        <f>IF('SPESE TEC. AMBITO A'!$N97="X",1,0)*'SPESE TEC. AMBITO A'!J$4*'SPESE TEC. AMBITO A'!J$7*'SPESE TEC. AMBITO A'!J$9*'SPESE TEC. AMBITO A'!J$11*M110*1</f>
        <v>0</v>
      </c>
      <c r="O110" s="29">
        <v>0.04</v>
      </c>
      <c r="P110" s="31"/>
      <c r="Q110" s="29">
        <v>0.04</v>
      </c>
      <c r="R110" s="31"/>
      <c r="S110" s="29">
        <v>0.04</v>
      </c>
      <c r="T110" s="32">
        <f>IF('SPESE TEC. AMBITO A'!$Q97="X",1,0)*'SPESE TEC. AMBITO A'!M$4*'SPESE TEC. AMBITO A'!M$7*'SPESE TEC. AMBITO A'!M$9*'SPESE TEC. AMBITO A'!M$11*S110*1</f>
        <v>0</v>
      </c>
      <c r="U110" s="31"/>
      <c r="V110" s="32">
        <f>IF('SPESE TEC. AMBITO A'!$T97="X",1,0)*'SPESE TEC. AMBITO A'!N$4*'SPESE TEC. AMBITO A'!N$7*'SPESE TEC. AMBITO A'!N$9*'SPESE TEC. AMBITO A'!N$11*U110*1</f>
        <v>0</v>
      </c>
      <c r="W110"/>
    </row>
    <row r="111" spans="1:23" s="1" customFormat="1" ht="15" customHeight="1">
      <c r="A111" s="359"/>
      <c r="B111" s="359"/>
      <c r="C111" s="287" t="s">
        <v>218</v>
      </c>
      <c r="D111" s="401" t="s">
        <v>219</v>
      </c>
      <c r="E111" s="401"/>
      <c r="F111" s="401"/>
      <c r="G111" s="29">
        <v>0.25</v>
      </c>
      <c r="H111" s="32">
        <f>IF('SPESE TEC. AMBITO A'!$E98="X",1,0)*'SPESE TEC. AMBITO A'!G$4*'SPESE TEC. AMBITO A'!G$7*'SPESE TEC. AMBITO A'!G$9*'SPESE TEC. AMBITO A'!G$11*G111</f>
        <v>3517.5678978273017</v>
      </c>
      <c r="I111" s="29">
        <v>0.25</v>
      </c>
      <c r="J111" s="32">
        <f>IF('SPESE TEC. AMBITO A'!$H98="X",1,0)*'SPESE TEC. AMBITO A'!H$4*'SPESE TEC. AMBITO A'!H$7*'SPESE TEC. AMBITO A'!H$9*'SPESE TEC. AMBITO A'!H$11*I111</f>
        <v>0</v>
      </c>
      <c r="K111" s="29">
        <v>0.25</v>
      </c>
      <c r="L111" s="32">
        <f>IF('SPESE TEC. AMBITO A'!$K98="X",1,0)*'SPESE TEC. AMBITO A'!I$4*'SPESE TEC. AMBITO A'!I$7*'SPESE TEC. AMBITO A'!I$9*'SPESE TEC. AMBITO A'!I$11*K111*1</f>
        <v>0</v>
      </c>
      <c r="M111" s="29">
        <v>0.25</v>
      </c>
      <c r="N111" s="32">
        <f>IF('SPESE TEC. AMBITO A'!$N98="X",1,0)*'SPESE TEC. AMBITO A'!J$4*'SPESE TEC. AMBITO A'!J$7*'SPESE TEC. AMBITO A'!J$9*'SPESE TEC. AMBITO A'!J$11*M111*1</f>
        <v>0</v>
      </c>
      <c r="O111" s="29">
        <v>0.25</v>
      </c>
      <c r="P111" s="31"/>
      <c r="Q111" s="29">
        <v>0.25</v>
      </c>
      <c r="R111" s="31"/>
      <c r="S111" s="29">
        <v>0.25</v>
      </c>
      <c r="T111" s="182">
        <f>IF('SPESE TEC. AMBITO A'!$Q98="X",1,0)*'SPESE TEC. AMBITO A'!M$4*'SPESE TEC. AMBITO A'!M$7*'SPESE TEC. AMBITO A'!M$9*'SPESE TEC. AMBITO A'!M$11*S111*1*IF('SPESE TEC. AMBITO A'!G$4&lt;5000,1/0.65,1)</f>
        <v>0</v>
      </c>
      <c r="U111" s="31"/>
      <c r="V111" s="32">
        <f>IF('SPESE TEC. AMBITO A'!$T98="X",1,0)*'SPESE TEC. AMBITO A'!N$4*'SPESE TEC. AMBITO A'!N$7*'SPESE TEC. AMBITO A'!N$9*'SPESE TEC. AMBITO A'!N$11*U111*1</f>
        <v>0</v>
      </c>
      <c r="W111"/>
    </row>
    <row r="112" spans="1:23" s="1" customFormat="1" ht="15" customHeight="1">
      <c r="A112" s="359"/>
      <c r="B112" s="359"/>
      <c r="C112" s="287" t="s">
        <v>220</v>
      </c>
      <c r="D112" s="401" t="s">
        <v>221</v>
      </c>
      <c r="E112" s="401"/>
      <c r="F112" s="401"/>
      <c r="G112" s="29">
        <v>0.04</v>
      </c>
      <c r="H112" s="32">
        <f>IF('SPESE TEC. AMBITO A'!$E99="X",1,0)*'SPESE TEC. AMBITO A'!G$4*'SPESE TEC. AMBITO A'!G$7*'SPESE TEC. AMBITO A'!G$9*'SPESE TEC. AMBITO A'!G$11*G112</f>
        <v>0</v>
      </c>
      <c r="I112" s="29">
        <v>0.04</v>
      </c>
      <c r="J112" s="32">
        <f>IF('SPESE TEC. AMBITO A'!$H99="X",1,0)*'SPESE TEC. AMBITO A'!H$4*'SPESE TEC. AMBITO A'!H$7*'SPESE TEC. AMBITO A'!H$9*'SPESE TEC. AMBITO A'!H$11*I112</f>
        <v>0</v>
      </c>
      <c r="K112" s="29">
        <v>0.04</v>
      </c>
      <c r="L112" s="32">
        <f>IF('SPESE TEC. AMBITO A'!$K99="X",1,0)*'SPESE TEC. AMBITO A'!I$4*'SPESE TEC. AMBITO A'!I$7*'SPESE TEC. AMBITO A'!I$9*'SPESE TEC. AMBITO A'!I$11*K112*1</f>
        <v>0</v>
      </c>
      <c r="M112" s="29">
        <v>0.04</v>
      </c>
      <c r="N112" s="32">
        <f>IF('SPESE TEC. AMBITO A'!$N99="X",1,0)*'SPESE TEC. AMBITO A'!J$4*'SPESE TEC. AMBITO A'!J$7*'SPESE TEC. AMBITO A'!J$9*'SPESE TEC. AMBITO A'!J$11*M112*1</f>
        <v>0</v>
      </c>
      <c r="O112" s="29">
        <v>0.04</v>
      </c>
      <c r="P112" s="31"/>
      <c r="Q112" s="29">
        <v>0.04</v>
      </c>
      <c r="R112" s="31"/>
      <c r="S112" s="29">
        <v>0.04</v>
      </c>
      <c r="T112" s="32">
        <f>IF('SPESE TEC. AMBITO A'!$Q99="X",1,0)*'SPESE TEC. AMBITO A'!M$4*'SPESE TEC. AMBITO A'!M$7*'SPESE TEC. AMBITO A'!M$9*'SPESE TEC. AMBITO A'!M$11*S112*1</f>
        <v>0</v>
      </c>
      <c r="U112" s="31"/>
      <c r="V112" s="32">
        <f>IF('SPESE TEC. AMBITO A'!$T99="X",1,0)*'SPESE TEC. AMBITO A'!N$4*'SPESE TEC. AMBITO A'!N$7*'SPESE TEC. AMBITO A'!N$9*'SPESE TEC. AMBITO A'!N$11*U112*1</f>
        <v>0</v>
      </c>
      <c r="W112"/>
    </row>
    <row r="113" spans="1:23" s="1" customFormat="1" ht="15" customHeight="1">
      <c r="A113" s="359"/>
      <c r="B113" s="359" t="s">
        <v>223</v>
      </c>
      <c r="C113" s="287" t="s">
        <v>224</v>
      </c>
      <c r="D113" s="402" t="s">
        <v>240</v>
      </c>
      <c r="E113" s="402"/>
      <c r="F113" s="402"/>
      <c r="G113" s="29">
        <v>0.08</v>
      </c>
      <c r="H113" s="32">
        <f>IF('SPESE TEC. AMBITO A'!$E100="X",1,0)*'SPESE TEC. AMBITO A'!G$4*'SPESE TEC. AMBITO A'!G$7*'SPESE TEC. AMBITO A'!G$9*'SPESE TEC. AMBITO A'!G$11*G113</f>
        <v>1125.6217273047366</v>
      </c>
      <c r="I113" s="29">
        <v>0.08</v>
      </c>
      <c r="J113" s="32">
        <f>IF('SPESE TEC. AMBITO A'!$H100="X",1,0)*'SPESE TEC. AMBITO A'!H$4*'SPESE TEC. AMBITO A'!H$7*'SPESE TEC. AMBITO A'!H$9*'SPESE TEC. AMBITO A'!H$11*I113</f>
        <v>0</v>
      </c>
      <c r="K113" s="29">
        <v>0.08</v>
      </c>
      <c r="L113" s="32">
        <f>IF('SPESE TEC. AMBITO A'!$K100="X",1,0)*'SPESE TEC. AMBITO A'!I$4*'SPESE TEC. AMBITO A'!I$7*'SPESE TEC. AMBITO A'!I$9*'SPESE TEC. AMBITO A'!I$11*K113*1</f>
        <v>0</v>
      </c>
      <c r="M113" s="29">
        <v>0.08</v>
      </c>
      <c r="N113" s="32">
        <f>IF('SPESE TEC. AMBITO A'!$N100="X",1,0)*'SPESE TEC. AMBITO A'!J$4*'SPESE TEC. AMBITO A'!J$7*'SPESE TEC. AMBITO A'!J$9*'SPESE TEC. AMBITO A'!J$11*M113*1</f>
        <v>0</v>
      </c>
      <c r="O113" s="29">
        <v>0.08</v>
      </c>
      <c r="P113" s="31"/>
      <c r="Q113" s="29">
        <v>0.08</v>
      </c>
      <c r="R113" s="31"/>
      <c r="S113" s="29">
        <v>0.08</v>
      </c>
      <c r="T113" s="182">
        <f>IF('SPESE TEC. AMBITO A'!$Q100="X",1,0)*'SPESE TEC. AMBITO A'!M$4*'SPESE TEC. AMBITO A'!M$7*'SPESE TEC. AMBITO A'!M$9*'SPESE TEC. AMBITO A'!M$11*S113*1*IF('SPESE TEC. AMBITO A'!G$4&lt;5000,1/0.65,1)</f>
        <v>0</v>
      </c>
      <c r="U113" s="31"/>
      <c r="V113" s="32">
        <f>IF('SPESE TEC. AMBITO A'!$T100="X",1,0)*'SPESE TEC. AMBITO A'!N$4*'SPESE TEC. AMBITO A'!N$7*'SPESE TEC. AMBITO A'!N$9*'SPESE TEC. AMBITO A'!N$11*U113*1</f>
        <v>0</v>
      </c>
      <c r="W113"/>
    </row>
    <row r="114" spans="1:23" s="1" customFormat="1" ht="15" customHeight="1">
      <c r="A114" s="359"/>
      <c r="B114" s="359"/>
      <c r="C114" s="287" t="s">
        <v>225</v>
      </c>
      <c r="D114" s="401" t="s">
        <v>226</v>
      </c>
      <c r="E114" s="401"/>
      <c r="F114" s="401"/>
      <c r="G114" s="29">
        <v>0.02</v>
      </c>
      <c r="H114" s="32">
        <f>IF('SPESE TEC. AMBITO A'!$E101="X",1,0)*'SPESE TEC. AMBITO A'!G$4*'SPESE TEC. AMBITO A'!G$7*'SPESE TEC. AMBITO A'!G$9*'SPESE TEC. AMBITO A'!G$11*G114</f>
        <v>0</v>
      </c>
      <c r="I114" s="29">
        <v>0.02</v>
      </c>
      <c r="J114" s="32">
        <f>IF('SPESE TEC. AMBITO A'!$H101="X",1,0)*'SPESE TEC. AMBITO A'!H$4*'SPESE TEC. AMBITO A'!H$7*'SPESE TEC. AMBITO A'!H$9*'SPESE TEC. AMBITO A'!H$11*I114</f>
        <v>0</v>
      </c>
      <c r="K114" s="29">
        <v>0.02</v>
      </c>
      <c r="L114" s="32">
        <f>IF('SPESE TEC. AMBITO A'!$K101="X",1,0)*'SPESE TEC. AMBITO A'!I$4*'SPESE TEC. AMBITO A'!I$7*'SPESE TEC. AMBITO A'!I$9*'SPESE TEC. AMBITO A'!I$11*K114*1</f>
        <v>0</v>
      </c>
      <c r="M114" s="29">
        <v>0.02</v>
      </c>
      <c r="N114" s="32">
        <f>IF('SPESE TEC. AMBITO A'!$N101="X",1,0)*'SPESE TEC. AMBITO A'!J$4*'SPESE TEC. AMBITO A'!J$7*'SPESE TEC. AMBITO A'!J$9*'SPESE TEC. AMBITO A'!J$11*M114*1</f>
        <v>0</v>
      </c>
      <c r="O114" s="29">
        <v>0.02</v>
      </c>
      <c r="P114" s="31"/>
      <c r="Q114" s="29">
        <v>0.02</v>
      </c>
      <c r="R114" s="31"/>
      <c r="S114" s="29">
        <v>0.02</v>
      </c>
      <c r="T114" s="32">
        <f>IF('SPESE TEC. AMBITO A'!$Q101="X",1,0)*'SPESE TEC. AMBITO A'!M$4*'SPESE TEC. AMBITO A'!M$7*'SPESE TEC. AMBITO A'!M$9*'SPESE TEC. AMBITO A'!M$11*S114*1</f>
        <v>0</v>
      </c>
      <c r="U114" s="31"/>
      <c r="V114" s="32">
        <f>IF('SPESE TEC. AMBITO A'!$T101="X",1,0)*'SPESE TEC. AMBITO A'!N$4*'SPESE TEC. AMBITO A'!N$7*'SPESE TEC. AMBITO A'!N$9*'SPESE TEC. AMBITO A'!N$11*U114*1</f>
        <v>0</v>
      </c>
      <c r="W114"/>
    </row>
    <row r="115" spans="1:23" s="1" customFormat="1" ht="15" customHeight="1">
      <c r="A115" s="359"/>
      <c r="B115" s="359"/>
      <c r="C115" s="287" t="s">
        <v>227</v>
      </c>
      <c r="D115" s="401" t="s">
        <v>228</v>
      </c>
      <c r="E115" s="401"/>
      <c r="F115" s="401"/>
      <c r="G115" s="31"/>
      <c r="H115" s="32">
        <f>IF('SPESE TEC. AMBITO A'!$E102="X",1,0)*'SPESE TEC. AMBITO A'!G$4*'SPESE TEC. AMBITO A'!G$7*'SPESE TEC. AMBITO A'!G$9*'SPESE TEC. AMBITO A'!G$11*G115</f>
        <v>0</v>
      </c>
      <c r="I115" s="29">
        <v>0.22</v>
      </c>
      <c r="J115" s="32">
        <f>IF('SPESE TEC. AMBITO A'!$H102="X",1,0)*'SPESE TEC. AMBITO A'!H$4*'SPESE TEC. AMBITO A'!H$7*'SPESE TEC. AMBITO A'!H$9*'SPESE TEC. AMBITO A'!H$11*I115</f>
        <v>0</v>
      </c>
      <c r="K115" s="31"/>
      <c r="L115" s="32">
        <f>IF('SPESE TEC. AMBITO A'!$K102="X",1,0)*'SPESE TEC. AMBITO A'!I$4*'SPESE TEC. AMBITO A'!I$7*'SPESE TEC. AMBITO A'!I$9*'SPESE TEC. AMBITO A'!I$11*K115*1</f>
        <v>0</v>
      </c>
      <c r="M115" s="31"/>
      <c r="N115" s="32">
        <f>IF('SPESE TEC. AMBITO A'!$N102="X",1,0)*'SPESE TEC. AMBITO A'!J$4*'SPESE TEC. AMBITO A'!J$7*'SPESE TEC. AMBITO A'!J$9*'SPESE TEC. AMBITO A'!J$11*M115*1</f>
        <v>0</v>
      </c>
      <c r="O115" s="31"/>
      <c r="P115" s="31"/>
      <c r="Q115" s="31"/>
      <c r="R115" s="31"/>
      <c r="S115" s="31"/>
      <c r="T115" s="32">
        <f>IF('SPESE TEC. AMBITO A'!$Q102="X",1,0)*'SPESE TEC. AMBITO A'!M$4*'SPESE TEC. AMBITO A'!M$7*'SPESE TEC. AMBITO A'!M$9*'SPESE TEC. AMBITO A'!M$11*S115*1</f>
        <v>0</v>
      </c>
      <c r="U115" s="31"/>
      <c r="V115" s="32">
        <f>IF('SPESE TEC. AMBITO A'!$T102="X",1,0)*'SPESE TEC. AMBITO A'!N$4*'SPESE TEC. AMBITO A'!N$7*'SPESE TEC. AMBITO A'!N$9*'SPESE TEC. AMBITO A'!N$11*U115*1</f>
        <v>0</v>
      </c>
      <c r="W115"/>
    </row>
    <row r="116" spans="1:23" s="1" customFormat="1" ht="15" customHeight="1">
      <c r="A116" s="359"/>
      <c r="B116" s="359"/>
      <c r="C116" s="287" t="s">
        <v>229</v>
      </c>
      <c r="D116" s="401" t="s">
        <v>230</v>
      </c>
      <c r="E116" s="401"/>
      <c r="F116" s="401"/>
      <c r="G116" s="31"/>
      <c r="H116" s="32">
        <f>IF('SPESE TEC. AMBITO A'!$E103="X",1,0)*'SPESE TEC. AMBITO A'!G$4*'SPESE TEC. AMBITO A'!G$7*'SPESE TEC. AMBITO A'!G$9*'SPESE TEC. AMBITO A'!G$11*G116</f>
        <v>0</v>
      </c>
      <c r="I116" s="31"/>
      <c r="J116" s="32">
        <f>IF('SPESE TEC. AMBITO A'!$H103="X",1,0)*'SPESE TEC. AMBITO A'!H$4*'SPESE TEC. AMBITO A'!H$7*'SPESE TEC. AMBITO A'!H$9*'SPESE TEC. AMBITO A'!H$11*I116</f>
        <v>0</v>
      </c>
      <c r="K116" s="29">
        <v>0.18</v>
      </c>
      <c r="L116" s="32">
        <f>IF('SPESE TEC. AMBITO A'!$K103="X",1,0)*'SPESE TEC. AMBITO A'!I$4*'SPESE TEC. AMBITO A'!I$7*'SPESE TEC. AMBITO A'!I$9*'SPESE TEC. AMBITO A'!I$11*K116*1</f>
        <v>0</v>
      </c>
      <c r="M116" s="31"/>
      <c r="N116" s="32">
        <f>IF('SPESE TEC. AMBITO A'!$N103="X",1,0)*'SPESE TEC. AMBITO A'!J$4*'SPESE TEC. AMBITO A'!J$7*'SPESE TEC. AMBITO A'!J$9*'SPESE TEC. AMBITO A'!J$11*M116*1</f>
        <v>0</v>
      </c>
      <c r="O116" s="29">
        <v>0.18</v>
      </c>
      <c r="P116" s="31"/>
      <c r="Q116" s="31"/>
      <c r="R116" s="31"/>
      <c r="S116" s="31"/>
      <c r="T116" s="32">
        <f>IF('SPESE TEC. AMBITO A'!$Q103="X",1,0)*'SPESE TEC. AMBITO A'!M$4*'SPESE TEC. AMBITO A'!M$7*'SPESE TEC. AMBITO A'!M$9*'SPESE TEC. AMBITO A'!M$11*S116*1</f>
        <v>0</v>
      </c>
      <c r="U116" s="31"/>
      <c r="V116" s="32">
        <f>IF('SPESE TEC. AMBITO A'!$T103="X",1,0)*'SPESE TEC. AMBITO A'!N$4*'SPESE TEC. AMBITO A'!N$7*'SPESE TEC. AMBITO A'!N$9*'SPESE TEC. AMBITO A'!N$11*U116*1</f>
        <v>0</v>
      </c>
      <c r="W116"/>
    </row>
    <row r="117" spans="1:23" s="1" customFormat="1" ht="15" customHeight="1">
      <c r="A117" s="359"/>
      <c r="B117" s="359"/>
      <c r="C117" s="287" t="s">
        <v>231</v>
      </c>
      <c r="D117" s="402" t="s">
        <v>241</v>
      </c>
      <c r="E117" s="402"/>
      <c r="F117" s="402"/>
      <c r="G117" s="29">
        <v>0.03</v>
      </c>
      <c r="H117" s="32">
        <f>IF('SPESE TEC. AMBITO A'!$E104="X",1,0)*'SPESE TEC. AMBITO A'!G$4*'SPESE TEC. AMBITO A'!G$7*'SPESE TEC. AMBITO A'!G$9*'SPESE TEC. AMBITO A'!G$11*G117</f>
        <v>0</v>
      </c>
      <c r="I117" s="29">
        <v>0.03</v>
      </c>
      <c r="J117" s="32">
        <f>IF('SPESE TEC. AMBITO A'!$H104="X",1,0)*'SPESE TEC. AMBITO A'!H$4*'SPESE TEC. AMBITO A'!H$7*'SPESE TEC. AMBITO A'!H$9*'SPESE TEC. AMBITO A'!H$11*I117</f>
        <v>0</v>
      </c>
      <c r="K117" s="29">
        <v>0.03</v>
      </c>
      <c r="L117" s="32">
        <f>IF('SPESE TEC. AMBITO A'!$K104="X",1,0)*'SPESE TEC. AMBITO A'!I$4*'SPESE TEC. AMBITO A'!I$7*'SPESE TEC. AMBITO A'!I$9*'SPESE TEC. AMBITO A'!I$11*K117*1</f>
        <v>0</v>
      </c>
      <c r="M117" s="31"/>
      <c r="N117" s="32">
        <f>IF('SPESE TEC. AMBITO A'!$N104="X",1,0)*'SPESE TEC. AMBITO A'!J$4*'SPESE TEC. AMBITO A'!J$7*'SPESE TEC. AMBITO A'!J$9*'SPESE TEC. AMBITO A'!J$11*M117*1</f>
        <v>0</v>
      </c>
      <c r="O117" s="31"/>
      <c r="P117" s="31"/>
      <c r="Q117" s="31"/>
      <c r="R117" s="31"/>
      <c r="S117" s="31"/>
      <c r="T117" s="32">
        <f>IF('SPESE TEC. AMBITO A'!$Q104="X",1,0)*'SPESE TEC. AMBITO A'!M$4*'SPESE TEC. AMBITO A'!M$7*'SPESE TEC. AMBITO A'!M$9*'SPESE TEC. AMBITO A'!M$11*S117*1</f>
        <v>0</v>
      </c>
      <c r="U117" s="31"/>
      <c r="V117" s="32">
        <f>IF('SPESE TEC. AMBITO A'!$T104="X",1,0)*'SPESE TEC. AMBITO A'!N$4*'SPESE TEC. AMBITO A'!N$7*'SPESE TEC. AMBITO A'!N$9*'SPESE TEC. AMBITO A'!N$11*U117*1</f>
        <v>0</v>
      </c>
      <c r="W117"/>
    </row>
    <row r="118" spans="1:23" s="1" customFormat="1" ht="15" customHeight="1">
      <c r="A118" s="359"/>
      <c r="B118" s="359" t="s">
        <v>232</v>
      </c>
      <c r="C118" s="196" t="s">
        <v>233</v>
      </c>
      <c r="D118" s="401" t="s">
        <v>234</v>
      </c>
      <c r="E118" s="401"/>
      <c r="F118" s="401"/>
      <c r="G118" s="31"/>
      <c r="H118" s="32">
        <f>IF('SPESE TEC. AMBITO A'!$E105="X",1,0)*'SPESE TEC. AMBITO A'!G$4*'SPESE TEC. AMBITO A'!G$7*'SPESE TEC. AMBITO A'!G$9*'SPESE TEC. AMBITO A'!G$11*G118</f>
        <v>0</v>
      </c>
      <c r="I118" s="31"/>
      <c r="J118" s="32">
        <f>IF('SPESE TEC. AMBITO A'!$H105="X",1,0)*'SPESE TEC. AMBITO A'!H$4*'SPESE TEC. AMBITO A'!H$7*'SPESE TEC. AMBITO A'!H$9*'SPESE TEC. AMBITO A'!H$11*I118</f>
        <v>0</v>
      </c>
      <c r="K118" s="31"/>
      <c r="L118" s="32">
        <f>IF('SPESE TEC. AMBITO A'!$K105="X",1,0)*'SPESE TEC. AMBITO A'!I$4*'SPESE TEC. AMBITO A'!I$7*'SPESE TEC. AMBITO A'!I$9*'SPESE TEC. AMBITO A'!I$11*K118*1</f>
        <v>0</v>
      </c>
      <c r="M118" s="31"/>
      <c r="N118" s="32">
        <f>IF('SPESE TEC. AMBITO A'!$N105="X",1,0)*'SPESE TEC. AMBITO A'!J$4*'SPESE TEC. AMBITO A'!J$7*'SPESE TEC. AMBITO A'!J$9*'SPESE TEC. AMBITO A'!J$11*M118*1</f>
        <v>0</v>
      </c>
      <c r="O118" s="31"/>
      <c r="P118" s="31"/>
      <c r="Q118" s="31"/>
      <c r="R118" s="31"/>
      <c r="S118" s="29">
        <v>2E-3</v>
      </c>
      <c r="T118" s="182">
        <f>IF('SPESE TEC. AMBITO A'!$Q105="X",1,0)*'SPESE TEC. AMBITO A'!M$4*'SPESE TEC. AMBITO A'!M$7*'SPESE TEC. AMBITO A'!M$9*'SPESE TEC. AMBITO A'!M$11*S118*1*IF('SPESE TEC. AMBITO A'!G$4&lt;5000,1/0.65,1)</f>
        <v>0</v>
      </c>
      <c r="U118" s="30">
        <v>1.5E-3</v>
      </c>
      <c r="V118" s="32">
        <f>IF('SPESE TEC. AMBITO A'!$T105="X",1,0)*'SPESE TEC. AMBITO A'!N$4*'SPESE TEC. AMBITO A'!N$7*'SPESE TEC. AMBITO A'!N$9*'SPESE TEC. AMBITO A'!N$11*U118*1</f>
        <v>0</v>
      </c>
      <c r="W118"/>
    </row>
    <row r="119" spans="1:23" s="1" customFormat="1" ht="45" customHeight="1">
      <c r="A119" s="359"/>
      <c r="B119" s="359"/>
      <c r="C119" s="196" t="s">
        <v>338</v>
      </c>
      <c r="D119" s="401" t="s">
        <v>235</v>
      </c>
      <c r="E119" s="401"/>
      <c r="F119" s="401"/>
      <c r="G119" s="29">
        <v>2.1999999999999999E-2</v>
      </c>
      <c r="H119" s="32">
        <f>IF('SPESE TEC. AMBITO A'!$E106="X",1,0)*'SPESE TEC. AMBITO A'!G$4*'SPESE TEC. AMBITO A'!G$7*'SPESE TEC. AMBITO A'!G$9*'SPESE TEC. AMBITO A'!G$11*G119</f>
        <v>309.54597500880254</v>
      </c>
      <c r="I119" s="31"/>
      <c r="J119" s="32">
        <f>IF('SPESE TEC. AMBITO A'!$H106="X",1,0)*'SPESE TEC. AMBITO A'!H$4*'SPESE TEC. AMBITO A'!H$7*'SPESE TEC. AMBITO A'!H$9*'SPESE TEC. AMBITO A'!H$11*I119</f>
        <v>0</v>
      </c>
      <c r="K119" s="31"/>
      <c r="L119" s="32">
        <f>IF('SPESE TEC. AMBITO A'!$K106="X",1,0)*'SPESE TEC. AMBITO A'!I$4*'SPESE TEC. AMBITO A'!I$7*'SPESE TEC. AMBITO A'!I$9*'SPESE TEC. AMBITO A'!I$11*K119*1</f>
        <v>0</v>
      </c>
      <c r="M119" s="31"/>
      <c r="N119" s="32">
        <f>IF('SPESE TEC. AMBITO A'!$N106="X",1,0)*'SPESE TEC. AMBITO A'!J$4*'SPESE TEC. AMBITO A'!J$7*'SPESE TEC. AMBITO A'!J$9*'SPESE TEC. AMBITO A'!J$11*M119*1</f>
        <v>0</v>
      </c>
      <c r="O119" s="31"/>
      <c r="P119" s="31"/>
      <c r="Q119" s="31"/>
      <c r="R119" s="31"/>
      <c r="S119" s="29">
        <v>2.1999999999999999E-2</v>
      </c>
      <c r="T119" s="182">
        <f>IF('SPESE TEC. AMBITO A'!$Q106="X",1,0)*'SPESE TEC. AMBITO A'!M$4*'SPESE TEC. AMBITO A'!M$7*'SPESE TEC. AMBITO A'!M$9*'SPESE TEC. AMBITO A'!M$11*S119*1*IF('SPESE TEC. AMBITO A'!G$4&lt;5000,1/0.65,1)</f>
        <v>0</v>
      </c>
      <c r="U119" s="31"/>
      <c r="V119" s="32">
        <f>IF('SPESE TEC. AMBITO A'!$T106="X",1,0)*'SPESE TEC. AMBITO A'!N$4*'SPESE TEC. AMBITO A'!N$7*'SPESE TEC. AMBITO A'!N$9*'SPESE TEC. AMBITO A'!N$11*U119*1</f>
        <v>0</v>
      </c>
      <c r="W119"/>
    </row>
    <row r="120" spans="1:23" s="1" customFormat="1">
      <c r="A120" s="399" t="s">
        <v>271</v>
      </c>
      <c r="B120" s="400"/>
      <c r="C120" s="400"/>
      <c r="D120" s="400"/>
      <c r="E120" s="400"/>
      <c r="F120" s="400"/>
      <c r="G120" s="400"/>
      <c r="H120" s="400"/>
      <c r="I120" s="400"/>
      <c r="J120" s="400"/>
      <c r="K120" s="400"/>
      <c r="L120" s="400"/>
      <c r="M120" s="400"/>
      <c r="N120" s="400"/>
      <c r="O120" s="400"/>
      <c r="P120" s="400"/>
      <c r="Q120" s="400"/>
      <c r="R120" s="400"/>
      <c r="S120" s="400"/>
      <c r="T120" s="400"/>
      <c r="U120" s="400"/>
      <c r="V120" s="400"/>
      <c r="W120"/>
    </row>
    <row r="121" spans="1:23" s="1" customFormat="1" ht="15" customHeight="1">
      <c r="A121" s="313" t="s">
        <v>59</v>
      </c>
      <c r="B121" s="313"/>
      <c r="C121" s="313" t="s">
        <v>60</v>
      </c>
      <c r="D121" s="313"/>
      <c r="E121" s="313"/>
      <c r="F121" s="313"/>
      <c r="G121" s="313" t="s">
        <v>61</v>
      </c>
      <c r="H121" s="313"/>
      <c r="I121" s="313"/>
      <c r="J121" s="313"/>
      <c r="K121" s="313"/>
      <c r="L121" s="313"/>
      <c r="M121" s="313"/>
      <c r="N121" s="313"/>
      <c r="O121" s="313"/>
      <c r="P121" s="313"/>
      <c r="Q121" s="313"/>
      <c r="R121" s="313"/>
      <c r="S121" s="313"/>
      <c r="T121" s="313"/>
      <c r="U121" s="313"/>
      <c r="V121" s="313"/>
      <c r="W121"/>
    </row>
    <row r="122" spans="1:23" s="1" customFormat="1" ht="15" customHeight="1">
      <c r="A122" s="313"/>
      <c r="B122" s="313"/>
      <c r="C122" s="313"/>
      <c r="D122" s="313"/>
      <c r="E122" s="313"/>
      <c r="F122" s="313"/>
      <c r="G122" s="313" t="s">
        <v>41</v>
      </c>
      <c r="H122" s="313"/>
      <c r="I122" s="313" t="s">
        <v>4</v>
      </c>
      <c r="J122" s="313"/>
      <c r="K122" s="313" t="s">
        <v>11</v>
      </c>
      <c r="L122" s="313"/>
      <c r="M122" s="313" t="s">
        <v>89</v>
      </c>
      <c r="N122" s="313"/>
      <c r="O122" s="313" t="s">
        <v>19</v>
      </c>
      <c r="P122" s="313"/>
      <c r="Q122" s="313" t="s">
        <v>49</v>
      </c>
      <c r="R122" s="313"/>
      <c r="S122" s="313" t="s">
        <v>197</v>
      </c>
      <c r="T122" s="313"/>
      <c r="U122" s="313" t="s">
        <v>51</v>
      </c>
      <c r="V122" s="313"/>
      <c r="W122"/>
    </row>
    <row r="123" spans="1:23" s="1" customFormat="1">
      <c r="A123" s="3"/>
      <c r="B123" s="3"/>
      <c r="C123" s="193"/>
      <c r="D123" s="193"/>
      <c r="E123" s="3"/>
      <c r="F123" s="3"/>
      <c r="G123" s="3" t="s">
        <v>323</v>
      </c>
      <c r="H123" s="35" t="s">
        <v>324</v>
      </c>
      <c r="I123" s="3" t="s">
        <v>323</v>
      </c>
      <c r="J123" s="3" t="s">
        <v>324</v>
      </c>
      <c r="K123" s="3" t="s">
        <v>323</v>
      </c>
      <c r="L123" s="3" t="s">
        <v>324</v>
      </c>
      <c r="M123" s="3" t="s">
        <v>323</v>
      </c>
      <c r="N123" s="3" t="s">
        <v>324</v>
      </c>
      <c r="O123" s="3" t="s">
        <v>323</v>
      </c>
      <c r="P123" s="3" t="s">
        <v>324</v>
      </c>
      <c r="Q123" s="3" t="s">
        <v>323</v>
      </c>
      <c r="R123" s="3" t="s">
        <v>324</v>
      </c>
      <c r="S123" s="3" t="s">
        <v>323</v>
      </c>
      <c r="T123" s="3" t="s">
        <v>324</v>
      </c>
      <c r="U123" s="3" t="s">
        <v>323</v>
      </c>
      <c r="V123" s="3" t="s">
        <v>324</v>
      </c>
      <c r="W123"/>
    </row>
    <row r="124" spans="1:23" s="1" customFormat="1" ht="15" customHeight="1">
      <c r="A124" s="359" t="s">
        <v>83</v>
      </c>
      <c r="B124" s="358" t="s">
        <v>73</v>
      </c>
      <c r="C124" s="195" t="s">
        <v>272</v>
      </c>
      <c r="D124" s="401" t="s">
        <v>273</v>
      </c>
      <c r="E124" s="401"/>
      <c r="F124" s="401"/>
      <c r="G124" s="31"/>
      <c r="H124" s="36"/>
      <c r="I124" s="31"/>
      <c r="J124" s="31"/>
      <c r="K124" s="31"/>
      <c r="L124" s="31"/>
      <c r="M124" s="31"/>
      <c r="N124" s="31"/>
      <c r="O124" s="31"/>
      <c r="P124" s="31"/>
      <c r="Q124" s="31"/>
      <c r="R124" s="31"/>
      <c r="S124" s="29">
        <v>0.01</v>
      </c>
      <c r="T124" s="121">
        <f>IF('SPESE TEC. AMBITO A'!$Q110="X",1,0)*'SPESE TEC. AMBITO A'!M$4*'SPESE TEC. AMBITO A'!M$7*0.65*0.915*S124</f>
        <v>0</v>
      </c>
      <c r="U124" s="29">
        <v>2.9999999999999997E-4</v>
      </c>
      <c r="V124" s="121">
        <f>IF('SPESE TEC. AMBITO A'!$T110="X",1,0)*'SPESE TEC. AMBITO A'!N$4*'SPESE TEC. AMBITO A'!N$7*0.65*0.915*U124</f>
        <v>0</v>
      </c>
      <c r="W124"/>
    </row>
    <row r="125" spans="1:23" s="1" customFormat="1" ht="15" customHeight="1">
      <c r="A125" s="359"/>
      <c r="B125" s="358"/>
      <c r="C125" s="195" t="s">
        <v>274</v>
      </c>
      <c r="D125" s="401" t="s">
        <v>275</v>
      </c>
      <c r="E125" s="401"/>
      <c r="F125" s="401"/>
      <c r="G125" s="31"/>
      <c r="H125" s="36"/>
      <c r="I125" s="31"/>
      <c r="J125" s="31"/>
      <c r="K125" s="31"/>
      <c r="L125" s="31"/>
      <c r="M125" s="31"/>
      <c r="N125" s="31"/>
      <c r="O125" s="31"/>
      <c r="P125" s="31"/>
      <c r="Q125" s="31"/>
      <c r="R125" s="31"/>
      <c r="S125" s="29">
        <v>0.05</v>
      </c>
      <c r="T125" s="121">
        <f>IF('SPESE TEC. AMBITO A'!$Q111="X",1,0)*'SPESE TEC. AMBITO A'!M$4*'SPESE TEC. AMBITO A'!M$7*0.65*0.915*S125</f>
        <v>0</v>
      </c>
      <c r="U125" s="29">
        <v>1E-3</v>
      </c>
      <c r="V125" s="121">
        <f>IF('SPESE TEC. AMBITO A'!$T111="X",1,0)*'SPESE TEC. AMBITO A'!N$4*'SPESE TEC. AMBITO A'!N$7*0.65*0.915*U125</f>
        <v>0</v>
      </c>
      <c r="W125"/>
    </row>
    <row r="126" spans="1:23" s="1" customFormat="1" ht="15" customHeight="1">
      <c r="A126" s="359"/>
      <c r="B126" s="358" t="s">
        <v>286</v>
      </c>
      <c r="C126" s="195" t="s">
        <v>77</v>
      </c>
      <c r="D126" s="401" t="s">
        <v>276</v>
      </c>
      <c r="E126" s="401"/>
      <c r="F126" s="401"/>
      <c r="G126" s="31"/>
      <c r="H126" s="36"/>
      <c r="I126" s="31"/>
      <c r="J126" s="31"/>
      <c r="K126" s="31"/>
      <c r="L126" s="31"/>
      <c r="M126" s="31"/>
      <c r="N126" s="31"/>
      <c r="O126" s="31"/>
      <c r="P126" s="31"/>
      <c r="Q126" s="31"/>
      <c r="R126" s="31"/>
      <c r="S126" s="29">
        <v>5.0000000000000001E-3</v>
      </c>
      <c r="T126" s="121">
        <f>IF('SPESE TEC. AMBITO A'!$Q112="X",1,0)*'SPESE TEC. AMBITO A'!M$4*'SPESE TEC. AMBITO A'!M$7*0.65*0.915*S126</f>
        <v>0</v>
      </c>
      <c r="U126" s="29">
        <v>1E-4</v>
      </c>
      <c r="V126" s="121">
        <f>IF('SPESE TEC. AMBITO A'!$T112="X",1,0)*'SPESE TEC. AMBITO A'!N$4*'SPESE TEC. AMBITO A'!N$7*0.65*0.915*U126</f>
        <v>0</v>
      </c>
      <c r="W126"/>
    </row>
    <row r="127" spans="1:23" s="1" customFormat="1" ht="15" customHeight="1">
      <c r="A127" s="359"/>
      <c r="B127" s="358"/>
      <c r="C127" s="65" t="s">
        <v>277</v>
      </c>
      <c r="D127" s="401" t="s">
        <v>278</v>
      </c>
      <c r="E127" s="401"/>
      <c r="F127" s="401"/>
      <c r="G127" s="31"/>
      <c r="H127" s="36"/>
      <c r="I127" s="31"/>
      <c r="J127" s="31"/>
      <c r="K127" s="31"/>
      <c r="L127" s="31"/>
      <c r="M127" s="31"/>
      <c r="N127" s="31"/>
      <c r="O127" s="31"/>
      <c r="P127" s="31"/>
      <c r="Q127" s="31"/>
      <c r="R127" s="31"/>
      <c r="S127" s="29">
        <v>6.0000000000000001E-3</v>
      </c>
      <c r="T127" s="121">
        <f>IF('SPESE TEC. AMBITO A'!$Q113="X",1,0)*'SPESE TEC. AMBITO A'!M$4*'SPESE TEC. AMBITO A'!M$7*0.65*0.915*S127</f>
        <v>0</v>
      </c>
      <c r="U127" s="29">
        <v>1.1999999999999999E-3</v>
      </c>
      <c r="V127" s="121">
        <f>IF('SPESE TEC. AMBITO A'!$T113="X",1,0)*'SPESE TEC. AMBITO A'!N$4*'SPESE TEC. AMBITO A'!N$7*0.65*0.915*U127</f>
        <v>0</v>
      </c>
      <c r="W127"/>
    </row>
    <row r="128" spans="1:23" s="1" customFormat="1" ht="45">
      <c r="A128" s="359"/>
      <c r="B128" s="358"/>
      <c r="C128" s="65" t="s">
        <v>337</v>
      </c>
      <c r="D128" s="401" t="s">
        <v>279</v>
      </c>
      <c r="E128" s="401"/>
      <c r="F128" s="401"/>
      <c r="G128" s="29">
        <v>0.03</v>
      </c>
      <c r="H128" s="121">
        <f>IF('SPESE TEC. AMBITO A'!$E114="X",1,0)*'SPESE TEC. AMBITO A'!G$4*'SPESE TEC. AMBITO A'!G$7*0.85*G128*0.915</f>
        <v>962.82209996250867</v>
      </c>
      <c r="I128" s="29">
        <v>0.03</v>
      </c>
      <c r="J128" s="121">
        <f>IF('SPESE TEC. AMBITO A'!$H114="X",1,0)*'SPESE TEC. AMBITO A'!H$4*'SPESE TEC. AMBITO A'!H$7*0.85*I128*0.915</f>
        <v>0</v>
      </c>
      <c r="K128" s="29">
        <v>0.03</v>
      </c>
      <c r="L128" s="121">
        <f>IF('SPESE TEC. AMBITO A'!$K114="X",1,0)*'SPESE TEC. AMBITO A'!I$4*'SPESE TEC. AMBITO A'!I$7*0.85*K128*0.915</f>
        <v>0</v>
      </c>
      <c r="M128" s="29">
        <v>0.03</v>
      </c>
      <c r="N128" s="121">
        <f>IF('SPESE TEC. AMBITO A'!$N114="X",1,0)*'SPESE TEC. AMBITO A'!J$4*'SPESE TEC. AMBITO A'!J$7*0.85*M128*0.915</f>
        <v>0</v>
      </c>
      <c r="O128" s="29">
        <v>0.03</v>
      </c>
      <c r="P128" s="31"/>
      <c r="Q128" s="29">
        <v>0.03</v>
      </c>
      <c r="R128" s="31"/>
      <c r="S128" s="29">
        <v>0.03</v>
      </c>
      <c r="T128" s="121">
        <f>IF('SPESE TEC. AMBITO A'!$Q114="X",1,0)*'SPESE TEC. AMBITO A'!M$4*'SPESE TEC. AMBITO A'!M$7*0.65*0.915*S128</f>
        <v>0</v>
      </c>
      <c r="U128" s="29">
        <v>1.5E-3</v>
      </c>
      <c r="V128" s="121">
        <f>IF('SPESE TEC. AMBITO A'!$T114="X",1,0)*'SPESE TEC. AMBITO A'!N$4*'SPESE TEC. AMBITO A'!N$7*0.65*0.915*U128</f>
        <v>0</v>
      </c>
      <c r="W128"/>
    </row>
    <row r="129" spans="1:24" s="1" customFormat="1" ht="45" customHeight="1">
      <c r="A129" s="359"/>
      <c r="B129" s="358"/>
      <c r="C129" s="65" t="s">
        <v>333</v>
      </c>
      <c r="D129" s="401" t="s">
        <v>318</v>
      </c>
      <c r="E129" s="401"/>
      <c r="F129" s="401"/>
      <c r="G129" s="29">
        <v>0.15</v>
      </c>
      <c r="H129" s="121">
        <f>IF('SPESE TEC. AMBITO A'!$E115="X",1,0)*'SPESE TEC. AMBITO A'!G$4*'SPESE TEC. AMBITO A'!G$7*0.85*G129*0.915</f>
        <v>4814.1104998125438</v>
      </c>
      <c r="I129" s="29">
        <v>0.15</v>
      </c>
      <c r="J129" s="121">
        <f>IF('SPESE TEC. AMBITO A'!$H115="X",1,0)*'SPESE TEC. AMBITO A'!H$4*'SPESE TEC. AMBITO A'!H$7*0.85*I129*0.915</f>
        <v>0</v>
      </c>
      <c r="K129" s="29">
        <v>0.15</v>
      </c>
      <c r="L129" s="121">
        <f>IF('SPESE TEC. AMBITO A'!$K115="X",1,0)*'SPESE TEC. AMBITO A'!I$4*'SPESE TEC. AMBITO A'!I$7*0.85*K129*0.915</f>
        <v>0</v>
      </c>
      <c r="M129" s="29">
        <v>0.15</v>
      </c>
      <c r="N129" s="121">
        <f>IF('SPESE TEC. AMBITO A'!$N115="X",1,0)*'SPESE TEC. AMBITO A'!J$4*'SPESE TEC. AMBITO A'!J$7*0.85*M129*0.915</f>
        <v>0</v>
      </c>
      <c r="O129" s="29">
        <v>0.15</v>
      </c>
      <c r="P129" s="31"/>
      <c r="Q129" s="29">
        <v>0.15</v>
      </c>
      <c r="R129" s="31"/>
      <c r="S129" s="29">
        <v>0.15</v>
      </c>
      <c r="T129" s="121">
        <f>IF('SPESE TEC. AMBITO A'!$Q115="X",1,0)*'SPESE TEC. AMBITO A'!M$4*'SPESE TEC. AMBITO A'!M$7*0.65*0.915*S129</f>
        <v>0</v>
      </c>
      <c r="U129" s="31"/>
      <c r="V129" s="121">
        <f>IF('SPESE TEC. AMBITO A'!$T115="X",1,0)*'SPESE TEC. AMBITO A'!N$4*'SPESE TEC. AMBITO A'!N$7*0.65*0.915*U129</f>
        <v>0</v>
      </c>
      <c r="W129"/>
      <c r="X129"/>
    </row>
    <row r="130" spans="1:24" s="1" customFormat="1" ht="45" customHeight="1">
      <c r="A130" s="359"/>
      <c r="B130" s="358"/>
      <c r="C130" s="65" t="s">
        <v>331</v>
      </c>
      <c r="D130" s="401" t="s">
        <v>280</v>
      </c>
      <c r="E130" s="401"/>
      <c r="F130" s="401"/>
      <c r="G130" s="29">
        <v>0.06</v>
      </c>
      <c r="H130" s="121">
        <f>IF('SPESE TEC. AMBITO A'!$E116="X",1,0)*'SPESE TEC. AMBITO A'!G$4*'SPESE TEC. AMBITO A'!G$7*0.85*G130*0.915</f>
        <v>0</v>
      </c>
      <c r="I130" s="29">
        <v>0.06</v>
      </c>
      <c r="J130" s="121">
        <f>IF('SPESE TEC. AMBITO A'!$H116="X",1,0)*'SPESE TEC. AMBITO A'!H$4*'SPESE TEC. AMBITO A'!H$7*0.85*I130*0.915</f>
        <v>0</v>
      </c>
      <c r="K130" s="29">
        <v>0.06</v>
      </c>
      <c r="L130" s="121">
        <f>IF('SPESE TEC. AMBITO A'!$K116="X",1,0)*'SPESE TEC. AMBITO A'!I$4*'SPESE TEC. AMBITO A'!I$7*0.85*K130*0.915</f>
        <v>0</v>
      </c>
      <c r="M130" s="29">
        <v>0.06</v>
      </c>
      <c r="N130" s="121">
        <f>IF('SPESE TEC. AMBITO A'!$N116="X",1,0)*'SPESE TEC. AMBITO A'!J$4*'SPESE TEC. AMBITO A'!J$7*0.85*M130*0.915</f>
        <v>0</v>
      </c>
      <c r="O130" s="29">
        <v>0.06</v>
      </c>
      <c r="P130" s="31"/>
      <c r="Q130" s="29">
        <v>0.06</v>
      </c>
      <c r="R130" s="31"/>
      <c r="S130" s="29">
        <v>0.06</v>
      </c>
      <c r="T130" s="121">
        <f>IF('SPESE TEC. AMBITO A'!$Q116="X",1,0)*'SPESE TEC. AMBITO A'!M$4*'SPESE TEC. AMBITO A'!M$7*0.65*0.915*S130</f>
        <v>0</v>
      </c>
      <c r="U130" s="29">
        <v>7.0000000000000007E-2</v>
      </c>
      <c r="V130" s="121">
        <f>IF('SPESE TEC. AMBITO A'!$T116="X",1,0)*'SPESE TEC. AMBITO A'!N$4*'SPESE TEC. AMBITO A'!N$7*0.65*0.915*U130</f>
        <v>0</v>
      </c>
      <c r="W130"/>
      <c r="X130"/>
    </row>
    <row r="131" spans="1:24" s="1" customFormat="1" ht="15" customHeight="1">
      <c r="A131" s="359"/>
      <c r="B131" s="358"/>
      <c r="C131" s="65" t="s">
        <v>281</v>
      </c>
      <c r="D131" s="401" t="s">
        <v>317</v>
      </c>
      <c r="E131" s="401"/>
      <c r="F131" s="401"/>
      <c r="G131" s="31"/>
      <c r="H131" s="31"/>
      <c r="I131" s="31"/>
      <c r="J131" s="31"/>
      <c r="K131" s="31"/>
      <c r="L131" s="31"/>
      <c r="M131" s="31"/>
      <c r="N131" s="31"/>
      <c r="O131" s="31"/>
      <c r="P131" s="31"/>
      <c r="Q131" s="31"/>
      <c r="R131" s="31"/>
      <c r="S131" s="29">
        <v>0.04</v>
      </c>
      <c r="T131" s="121">
        <f>IF('SPESE TEC. AMBITO A'!$Q117="X",1,0)*'SPESE TEC. AMBITO A'!M$4*'SPESE TEC. AMBITO A'!M$7*0.65*0.915*S131</f>
        <v>0</v>
      </c>
      <c r="U131" s="31"/>
      <c r="V131" s="121">
        <f>IF('SPESE TEC. AMBITO A'!$T117="X",1,0)*'SPESE TEC. AMBITO A'!N$4*'SPESE TEC. AMBITO A'!N$7*0.65*0.915*U131</f>
        <v>0</v>
      </c>
      <c r="W131"/>
      <c r="X131"/>
    </row>
    <row r="132" spans="1:24" s="1" customFormat="1" ht="15" customHeight="1">
      <c r="A132" s="359"/>
      <c r="B132" s="358"/>
      <c r="C132" s="65" t="s">
        <v>282</v>
      </c>
      <c r="D132" s="401" t="s">
        <v>283</v>
      </c>
      <c r="E132" s="401"/>
      <c r="F132" s="401"/>
      <c r="G132" s="31"/>
      <c r="H132" s="31"/>
      <c r="I132" s="31"/>
      <c r="J132" s="31"/>
      <c r="K132" s="31"/>
      <c r="L132" s="31"/>
      <c r="M132" s="31"/>
      <c r="N132" s="31"/>
      <c r="O132" s="31"/>
      <c r="P132" s="31"/>
      <c r="Q132" s="31"/>
      <c r="R132" s="31"/>
      <c r="S132" s="29">
        <v>3.5000000000000003E-2</v>
      </c>
      <c r="T132" s="121">
        <f>IF('SPESE TEC. AMBITO A'!$Q118="X",1,0)*'SPESE TEC. AMBITO A'!M$4*'SPESE TEC. AMBITO A'!M$7*0.65*0.915*S132</f>
        <v>0</v>
      </c>
      <c r="U132" s="31"/>
      <c r="V132" s="121">
        <f>IF('SPESE TEC. AMBITO A'!$T118="X",1,0)*'SPESE TEC. AMBITO A'!N$4*'SPESE TEC. AMBITO A'!N$7*0.65*0.915*U132</f>
        <v>0</v>
      </c>
      <c r="W132"/>
      <c r="X132"/>
    </row>
    <row r="133" spans="1:24" s="1" customFormat="1" ht="15" customHeight="1">
      <c r="A133" s="359"/>
      <c r="B133" s="358"/>
      <c r="C133" s="65" t="s">
        <v>284</v>
      </c>
      <c r="D133" s="401" t="s">
        <v>285</v>
      </c>
      <c r="E133" s="401"/>
      <c r="F133" s="401"/>
      <c r="G133" s="31"/>
      <c r="H133" s="31"/>
      <c r="I133" s="31"/>
      <c r="J133" s="31"/>
      <c r="K133" s="31"/>
      <c r="L133" s="31"/>
      <c r="M133" s="31"/>
      <c r="N133" s="31"/>
      <c r="O133" s="31"/>
      <c r="P133" s="31"/>
      <c r="Q133" s="31"/>
      <c r="R133" s="31"/>
      <c r="S133" s="29">
        <v>0.04</v>
      </c>
      <c r="T133" s="121">
        <f>IF('SPESE TEC. AMBITO A'!$Q119="X",1,0)*'SPESE TEC. AMBITO A'!M$4*'SPESE TEC. AMBITO A'!M$7*0.65*0.915*S133</f>
        <v>0</v>
      </c>
      <c r="U133" s="31"/>
      <c r="V133" s="121">
        <f>IF('SPESE TEC. AMBITO A'!$T119="X",1,0)*'SPESE TEC. AMBITO A'!N$4*'SPESE TEC. AMBITO A'!N$7*0.65*0.915*U133</f>
        <v>0</v>
      </c>
      <c r="W133"/>
      <c r="X133"/>
    </row>
    <row r="134" spans="1:24" s="1" customFormat="1" ht="45" customHeight="1">
      <c r="A134" s="359"/>
      <c r="B134" s="358" t="s">
        <v>82</v>
      </c>
      <c r="C134" s="65" t="s">
        <v>332</v>
      </c>
      <c r="D134" s="401" t="s">
        <v>316</v>
      </c>
      <c r="E134" s="401"/>
      <c r="F134" s="401"/>
      <c r="G134" s="29">
        <v>0.14000000000000001</v>
      </c>
      <c r="H134" s="121">
        <f>IF('SPESE TEC. AMBITO A'!$E120="X",1,0)*'SPESE TEC. AMBITO A'!G$4*'SPESE TEC. AMBITO A'!G$7*0.85*G134*0.915</f>
        <v>4493.1697998250411</v>
      </c>
      <c r="I134" s="29">
        <v>0.14000000000000001</v>
      </c>
      <c r="J134" s="121">
        <f>IF('SPESE TEC. AMBITO A'!$H120="X",1,0)*'SPESE TEC. AMBITO A'!H$4*'SPESE TEC. AMBITO A'!H$7*0.85*I134*0.915</f>
        <v>0</v>
      </c>
      <c r="K134" s="29">
        <v>0.14000000000000001</v>
      </c>
      <c r="L134" s="121">
        <f>IF('SPESE TEC. AMBITO A'!$K120="X",1,0)*'SPESE TEC. AMBITO A'!I$4*'SPESE TEC. AMBITO A'!I$7*0.85*K134*0.915</f>
        <v>0</v>
      </c>
      <c r="M134" s="29">
        <v>0.14000000000000001</v>
      </c>
      <c r="N134" s="121">
        <f>IF('SPESE TEC. AMBITO A'!$N120="X",1,0)*'SPESE TEC. AMBITO A'!J$4*'SPESE TEC. AMBITO A'!J$7*0.85*M134*0.915</f>
        <v>0</v>
      </c>
      <c r="O134" s="29">
        <v>0.14000000000000001</v>
      </c>
      <c r="P134" s="31"/>
      <c r="Q134" s="29">
        <v>0.14000000000000001</v>
      </c>
      <c r="R134" s="31"/>
      <c r="S134" s="29">
        <v>0.14000000000000001</v>
      </c>
      <c r="T134" s="121">
        <f>IF('SPESE TEC. AMBITO A'!$Q120="X",1,0)*'SPESE TEC. AMBITO A'!M$4*'SPESE TEC. AMBITO A'!M$7*0.65*0.915*S134</f>
        <v>0</v>
      </c>
      <c r="U134" s="31"/>
      <c r="V134" s="121">
        <f>IF('SPESE TEC. AMBITO A'!$T120="X",1,0)*'SPESE TEC. AMBITO A'!N$4*'SPESE TEC. AMBITO A'!N$7*0.65*0.915*U134</f>
        <v>0</v>
      </c>
      <c r="W134"/>
      <c r="X134"/>
    </row>
    <row r="135" spans="1:24" s="1" customFormat="1" ht="45" customHeight="1">
      <c r="A135" s="359"/>
      <c r="B135" s="358"/>
      <c r="C135" s="65" t="s">
        <v>362</v>
      </c>
      <c r="D135" s="401" t="s">
        <v>287</v>
      </c>
      <c r="E135" s="401"/>
      <c r="F135" s="401"/>
      <c r="G135" s="29">
        <v>2.4E-2</v>
      </c>
      <c r="H135" s="121">
        <f>IF('SPESE TEC. AMBITO A'!$E121="X",1,0)*'SPESE TEC. AMBITO A'!G$4*'SPESE TEC. AMBITO A'!G$7*0.85*G135*0.915</f>
        <v>770.25767997000696</v>
      </c>
      <c r="I135" s="29">
        <v>2.4E-2</v>
      </c>
      <c r="J135" s="121">
        <f>IF('SPESE TEC. AMBITO A'!$H121="X",1,0)*'SPESE TEC. AMBITO A'!H$4*'SPESE TEC. AMBITO A'!H$7*0.85*I135*0.915</f>
        <v>0</v>
      </c>
      <c r="K135" s="29">
        <v>2.4E-2</v>
      </c>
      <c r="L135" s="121">
        <f>IF('SPESE TEC. AMBITO A'!$K121="X",1,0)*'SPESE TEC. AMBITO A'!I$4*'SPESE TEC. AMBITO A'!I$7*0.85*K135*0.915</f>
        <v>0</v>
      </c>
      <c r="M135" s="29">
        <v>2.4E-2</v>
      </c>
      <c r="N135" s="121">
        <f>IF('SPESE TEC. AMBITO A'!$N121="X",1,0)*'SPESE TEC. AMBITO A'!J$4*'SPESE TEC. AMBITO A'!J$7*0.85*M135*0.915</f>
        <v>0</v>
      </c>
      <c r="O135" s="29">
        <v>2.4E-2</v>
      </c>
      <c r="P135" s="31"/>
      <c r="Q135" s="29">
        <v>2.4E-2</v>
      </c>
      <c r="R135" s="31"/>
      <c r="S135" s="29">
        <v>2.4E-2</v>
      </c>
      <c r="T135" s="121">
        <f>IF('SPESE TEC. AMBITO A'!$Q121="X",1,0)*'SPESE TEC. AMBITO A'!M$4*'SPESE TEC. AMBITO A'!M$7*0.65*0.915*S135</f>
        <v>0</v>
      </c>
      <c r="U135" s="31"/>
      <c r="V135" s="121">
        <f>IF('SPESE TEC. AMBITO A'!$T121="X",1,0)*'SPESE TEC. AMBITO A'!N$4*'SPESE TEC. AMBITO A'!N$7*0.65*0.915*U135</f>
        <v>0</v>
      </c>
      <c r="W135"/>
      <c r="X135"/>
    </row>
    <row r="136" spans="1:24" s="1" customFormat="1" ht="15" customHeight="1">
      <c r="A136" s="359"/>
      <c r="B136" s="358"/>
      <c r="C136" s="195" t="s">
        <v>288</v>
      </c>
      <c r="D136" s="401" t="s">
        <v>289</v>
      </c>
      <c r="E136" s="401"/>
      <c r="F136" s="401"/>
      <c r="G136" s="31"/>
      <c r="H136" s="31"/>
      <c r="I136" s="31"/>
      <c r="J136" s="31"/>
      <c r="K136" s="31"/>
      <c r="L136" s="31"/>
      <c r="M136" s="31"/>
      <c r="N136" s="31"/>
      <c r="O136" s="31"/>
      <c r="P136" s="31"/>
      <c r="Q136" s="31"/>
      <c r="R136" s="31"/>
      <c r="S136" s="29">
        <v>0.1</v>
      </c>
      <c r="T136" s="121">
        <f>IF('SPESE TEC. AMBITO A'!$Q122="X",1,0)*'SPESE TEC. AMBITO A'!M$4*'SPESE TEC. AMBITO A'!M$7*0.65*0.915*S136</f>
        <v>0</v>
      </c>
      <c r="U136" s="33">
        <v>1.5E-3</v>
      </c>
      <c r="V136" s="121">
        <f>IF('SPESE TEC. AMBITO A'!$T122="X",1,0)*'SPESE TEC. AMBITO A'!N$4*'SPESE TEC. AMBITO A'!N$7*0.65*0.915*U136</f>
        <v>0</v>
      </c>
      <c r="W136"/>
      <c r="X136"/>
    </row>
    <row r="137" spans="1:24" s="1" customFormat="1" ht="15" customHeight="1">
      <c r="A137" s="359" t="s">
        <v>299</v>
      </c>
      <c r="B137" s="358" t="s">
        <v>298</v>
      </c>
      <c r="C137" s="195" t="s">
        <v>290</v>
      </c>
      <c r="D137" s="401" t="s">
        <v>291</v>
      </c>
      <c r="E137" s="401"/>
      <c r="F137" s="401"/>
      <c r="G137" s="31"/>
      <c r="H137" s="31"/>
      <c r="I137" s="31"/>
      <c r="J137" s="31"/>
      <c r="K137" s="31"/>
      <c r="L137" s="31"/>
      <c r="M137" s="31"/>
      <c r="N137" s="31"/>
      <c r="O137" s="31"/>
      <c r="P137" s="31"/>
      <c r="Q137" s="31"/>
      <c r="R137" s="31"/>
      <c r="S137" s="29">
        <v>5.0000000000000001E-3</v>
      </c>
      <c r="T137" s="121">
        <f>IF('SPESE TEC. AMBITO A'!$Q123="X",1,0)*'SPESE TEC. AMBITO A'!M$4*'SPESE TEC. AMBITO A'!M$7*0.65*0.915*S137</f>
        <v>0</v>
      </c>
      <c r="U137" s="29">
        <v>6.0000000000000001E-3</v>
      </c>
      <c r="V137" s="121">
        <f>IF('SPESE TEC. AMBITO A'!$T123="X",1,0)*'SPESE TEC. AMBITO A'!N$4*'SPESE TEC. AMBITO A'!N$7*0.65*0.915*U137</f>
        <v>0</v>
      </c>
      <c r="W137"/>
      <c r="X137"/>
    </row>
    <row r="138" spans="1:24" s="1" customFormat="1" ht="15" customHeight="1">
      <c r="A138" s="359"/>
      <c r="B138" s="358"/>
      <c r="C138" s="195" t="s">
        <v>292</v>
      </c>
      <c r="D138" s="401" t="s">
        <v>293</v>
      </c>
      <c r="E138" s="401"/>
      <c r="F138" s="401"/>
      <c r="G138" s="31"/>
      <c r="H138" s="31"/>
      <c r="I138" s="31"/>
      <c r="J138" s="31"/>
      <c r="K138" s="31"/>
      <c r="L138" s="31"/>
      <c r="M138" s="31"/>
      <c r="N138" s="31"/>
      <c r="O138" s="31"/>
      <c r="P138" s="31"/>
      <c r="Q138" s="31"/>
      <c r="R138" s="31"/>
      <c r="S138" s="29">
        <v>5.0000000000000001E-3</v>
      </c>
      <c r="T138" s="121">
        <f>IF('SPESE TEC. AMBITO A'!$Q124="X",1,0)*'SPESE TEC. AMBITO A'!M$4*'SPESE TEC. AMBITO A'!M$7*0.65*0.915*S138</f>
        <v>0</v>
      </c>
      <c r="U138" s="29">
        <v>5.0000000000000001E-3</v>
      </c>
      <c r="V138" s="121">
        <f>IF('SPESE TEC. AMBITO A'!$T124="X",1,0)*'SPESE TEC. AMBITO A'!N$4*'SPESE TEC. AMBITO A'!N$7*0.65*0.915*U138</f>
        <v>0</v>
      </c>
      <c r="W138"/>
      <c r="X138"/>
    </row>
    <row r="139" spans="1:24" s="1" customFormat="1" ht="15" customHeight="1">
      <c r="A139" s="359"/>
      <c r="B139" s="358"/>
      <c r="C139" s="195" t="s">
        <v>294</v>
      </c>
      <c r="D139" s="401" t="s">
        <v>295</v>
      </c>
      <c r="E139" s="401"/>
      <c r="F139" s="401"/>
      <c r="G139" s="31"/>
      <c r="H139" s="31"/>
      <c r="I139" s="31"/>
      <c r="J139" s="31"/>
      <c r="K139" s="31"/>
      <c r="L139" s="31"/>
      <c r="M139" s="31"/>
      <c r="N139" s="31"/>
      <c r="O139" s="31"/>
      <c r="P139" s="31"/>
      <c r="Q139" s="31"/>
      <c r="R139" s="31"/>
      <c r="S139" s="29">
        <v>0.03</v>
      </c>
      <c r="T139" s="121">
        <f>IF('SPESE TEC. AMBITO A'!$Q125="X",1,0)*'SPESE TEC. AMBITO A'!M$4*'SPESE TEC. AMBITO A'!M$7*0.65*0.915*S139</f>
        <v>0</v>
      </c>
      <c r="U139" s="31"/>
      <c r="V139" s="121">
        <f>IF('SPESE TEC. AMBITO A'!$T125="X",1,0)*'SPESE TEC. AMBITO A'!N$4*'SPESE TEC. AMBITO A'!N$7*0.65*0.915*U139</f>
        <v>0</v>
      </c>
      <c r="W139"/>
      <c r="X139"/>
    </row>
    <row r="140" spans="1:24" s="1" customFormat="1" ht="15" customHeight="1">
      <c r="A140" s="359"/>
      <c r="B140" s="358"/>
      <c r="C140" s="195" t="s">
        <v>296</v>
      </c>
      <c r="D140" s="401" t="s">
        <v>297</v>
      </c>
      <c r="E140" s="401"/>
      <c r="F140" s="401"/>
      <c r="G140" s="31"/>
      <c r="H140" s="31"/>
      <c r="I140" s="31"/>
      <c r="J140" s="31"/>
      <c r="K140" s="31"/>
      <c r="L140" s="31"/>
      <c r="M140" s="31"/>
      <c r="N140" s="31"/>
      <c r="O140" s="31"/>
      <c r="P140" s="31"/>
      <c r="Q140" s="31"/>
      <c r="R140" s="31"/>
      <c r="S140" s="29">
        <v>3.0000000000000001E-3</v>
      </c>
      <c r="T140" s="121">
        <f>IF('SPESE TEC. AMBITO A'!$Q126="X",1,0)*'SPESE TEC. AMBITO A'!M$4*'SPESE TEC. AMBITO A'!M$7*0.65*0.915*S140</f>
        <v>0</v>
      </c>
      <c r="U140" s="31"/>
      <c r="V140" s="31"/>
      <c r="W140"/>
      <c r="X140"/>
    </row>
  </sheetData>
  <sheetProtection password="CCF4" sheet="1" objects="1" scenarios="1"/>
  <mergeCells count="152">
    <mergeCell ref="B9:B11"/>
    <mergeCell ref="B12:B14"/>
    <mergeCell ref="A2:V2"/>
    <mergeCell ref="S4:T4"/>
    <mergeCell ref="U4:V4"/>
    <mergeCell ref="A3:B4"/>
    <mergeCell ref="Q4:R4"/>
    <mergeCell ref="D6:F6"/>
    <mergeCell ref="B6:B8"/>
    <mergeCell ref="G3:V3"/>
    <mergeCell ref="A6:A15"/>
    <mergeCell ref="D8:F8"/>
    <mergeCell ref="D9:F9"/>
    <mergeCell ref="D10:F10"/>
    <mergeCell ref="D11:F11"/>
    <mergeCell ref="C3:F4"/>
    <mergeCell ref="D7:F7"/>
    <mergeCell ref="D25:F25"/>
    <mergeCell ref="D12:F12"/>
    <mergeCell ref="D13:F13"/>
    <mergeCell ref="D14:F14"/>
    <mergeCell ref="D15:F15"/>
    <mergeCell ref="D16:F16"/>
    <mergeCell ref="D17:F17"/>
    <mergeCell ref="D18:F18"/>
    <mergeCell ref="D21:F21"/>
    <mergeCell ref="D40:D42"/>
    <mergeCell ref="D43:F43"/>
    <mergeCell ref="D26:D31"/>
    <mergeCell ref="D32:F32"/>
    <mergeCell ref="D33:F33"/>
    <mergeCell ref="D34:F34"/>
    <mergeCell ref="D35:F35"/>
    <mergeCell ref="D55:F55"/>
    <mergeCell ref="D36:F36"/>
    <mergeCell ref="D44:F44"/>
    <mergeCell ref="A16:A44"/>
    <mergeCell ref="B16:B44"/>
    <mergeCell ref="D19:F19"/>
    <mergeCell ref="D22:F22"/>
    <mergeCell ref="D23:F23"/>
    <mergeCell ref="D24:F24"/>
    <mergeCell ref="D20:F20"/>
    <mergeCell ref="D52:F52"/>
    <mergeCell ref="D53:F53"/>
    <mergeCell ref="A45:A80"/>
    <mergeCell ref="B45:B80"/>
    <mergeCell ref="D45:F45"/>
    <mergeCell ref="D46:F46"/>
    <mergeCell ref="D47:F47"/>
    <mergeCell ref="D48:F48"/>
    <mergeCell ref="D49:F49"/>
    <mergeCell ref="D50:F50"/>
    <mergeCell ref="D51:F51"/>
    <mergeCell ref="D56:F56"/>
    <mergeCell ref="D54:F54"/>
    <mergeCell ref="D57:D62"/>
    <mergeCell ref="D63:F63"/>
    <mergeCell ref="D72:F72"/>
    <mergeCell ref="D37:D39"/>
    <mergeCell ref="A81:A91"/>
    <mergeCell ref="B81:B91"/>
    <mergeCell ref="D89:F89"/>
    <mergeCell ref="D90:F90"/>
    <mergeCell ref="D85:F85"/>
    <mergeCell ref="A113:A117"/>
    <mergeCell ref="B113:B117"/>
    <mergeCell ref="D113:F113"/>
    <mergeCell ref="D114:F114"/>
    <mergeCell ref="D115:F115"/>
    <mergeCell ref="D116:F116"/>
    <mergeCell ref="D117:F117"/>
    <mergeCell ref="D97:D102"/>
    <mergeCell ref="D110:F110"/>
    <mergeCell ref="D111:F111"/>
    <mergeCell ref="D103:F103"/>
    <mergeCell ref="D104:F104"/>
    <mergeCell ref="D105:F105"/>
    <mergeCell ref="D106:D107"/>
    <mergeCell ref="D108:D109"/>
    <mergeCell ref="A92:A112"/>
    <mergeCell ref="B92:B112"/>
    <mergeCell ref="D92:F92"/>
    <mergeCell ref="D93:F93"/>
    <mergeCell ref="B118:B119"/>
    <mergeCell ref="D118:F118"/>
    <mergeCell ref="D119:F119"/>
    <mergeCell ref="D130:F130"/>
    <mergeCell ref="D136:F136"/>
    <mergeCell ref="A121:B122"/>
    <mergeCell ref="C121:F122"/>
    <mergeCell ref="D132:F132"/>
    <mergeCell ref="D133:F133"/>
    <mergeCell ref="D131:F131"/>
    <mergeCell ref="A137:A140"/>
    <mergeCell ref="B137:B140"/>
    <mergeCell ref="D124:F124"/>
    <mergeCell ref="D125:F125"/>
    <mergeCell ref="A124:A136"/>
    <mergeCell ref="B124:B125"/>
    <mergeCell ref="B126:B133"/>
    <mergeCell ref="D126:F126"/>
    <mergeCell ref="D127:F127"/>
    <mergeCell ref="D137:F137"/>
    <mergeCell ref="D138:F138"/>
    <mergeCell ref="D139:F139"/>
    <mergeCell ref="D140:F140"/>
    <mergeCell ref="B134:B136"/>
    <mergeCell ref="D134:F134"/>
    <mergeCell ref="D135:F135"/>
    <mergeCell ref="D128:F128"/>
    <mergeCell ref="D129:F129"/>
    <mergeCell ref="D112:F112"/>
    <mergeCell ref="D82:F82"/>
    <mergeCell ref="D83:F83"/>
    <mergeCell ref="S122:T122"/>
    <mergeCell ref="D84:F84"/>
    <mergeCell ref="D64:F64"/>
    <mergeCell ref="D65:F65"/>
    <mergeCell ref="D66:F66"/>
    <mergeCell ref="D67:F67"/>
    <mergeCell ref="D68:F68"/>
    <mergeCell ref="D73:D75"/>
    <mergeCell ref="D76:D78"/>
    <mergeCell ref="D79:F79"/>
    <mergeCell ref="D94:F94"/>
    <mergeCell ref="D95:F95"/>
    <mergeCell ref="D96:F96"/>
    <mergeCell ref="U122:V122"/>
    <mergeCell ref="G121:V121"/>
    <mergeCell ref="A120:V120"/>
    <mergeCell ref="G4:H4"/>
    <mergeCell ref="I4:J4"/>
    <mergeCell ref="K4:L4"/>
    <mergeCell ref="M4:N4"/>
    <mergeCell ref="O4:P4"/>
    <mergeCell ref="G122:H122"/>
    <mergeCell ref="I122:J122"/>
    <mergeCell ref="K122:L122"/>
    <mergeCell ref="M122:N122"/>
    <mergeCell ref="O122:P122"/>
    <mergeCell ref="Q122:R122"/>
    <mergeCell ref="D80:F80"/>
    <mergeCell ref="D81:F81"/>
    <mergeCell ref="D69:F69"/>
    <mergeCell ref="D70:F70"/>
    <mergeCell ref="D71:F71"/>
    <mergeCell ref="D91:F91"/>
    <mergeCell ref="D86:F86"/>
    <mergeCell ref="D87:F87"/>
    <mergeCell ref="D88:F88"/>
    <mergeCell ref="A118:A119"/>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sheetPr codeName="Foglio7"/>
  <dimension ref="A2:T80"/>
  <sheetViews>
    <sheetView zoomScale="80" zoomScaleNormal="80" workbookViewId="0">
      <selection activeCell="P13" sqref="P13"/>
    </sheetView>
  </sheetViews>
  <sheetFormatPr defaultRowHeight="15"/>
  <cols>
    <col min="1" max="1" width="15.7109375" style="6" bestFit="1" customWidth="1"/>
    <col min="4" max="4" width="9.28515625" style="7" bestFit="1" customWidth="1"/>
    <col min="6" max="6" width="15.7109375" style="6" bestFit="1" customWidth="1"/>
    <col min="7" max="7" width="16.7109375" style="6" customWidth="1"/>
    <col min="9" max="9" width="13" style="7" bestFit="1" customWidth="1"/>
    <col min="10" max="10" width="15.85546875" style="7" customWidth="1"/>
    <col min="12" max="12" width="15.7109375" style="6" bestFit="1" customWidth="1"/>
    <col min="13" max="13" width="12" bestFit="1" customWidth="1"/>
    <col min="15" max="15" width="9.140625" style="7"/>
    <col min="16" max="16" width="12.85546875" bestFit="1" customWidth="1"/>
    <col min="17" max="17" width="15.7109375" bestFit="1" customWidth="1"/>
    <col min="18" max="19" width="12.85546875" bestFit="1" customWidth="1"/>
    <col min="20" max="20" width="17.28515625" bestFit="1" customWidth="1"/>
    <col min="21" max="21" width="9.28515625" bestFit="1" customWidth="1"/>
  </cols>
  <sheetData>
    <row r="2" spans="1:20" ht="75.75" customHeight="1">
      <c r="A2" s="406"/>
      <c r="B2" s="406"/>
      <c r="C2" s="406"/>
      <c r="D2" s="406"/>
      <c r="E2" s="25"/>
      <c r="F2" s="34" t="s">
        <v>334</v>
      </c>
      <c r="G2" s="34"/>
      <c r="H2" s="34"/>
      <c r="I2" s="34" t="s">
        <v>335</v>
      </c>
      <c r="J2" s="40" t="s">
        <v>336</v>
      </c>
      <c r="L2" s="407" t="s">
        <v>369</v>
      </c>
      <c r="M2" s="407"/>
      <c r="N2" s="407"/>
      <c r="O2" s="407"/>
      <c r="T2" t="s">
        <v>314</v>
      </c>
    </row>
    <row r="3" spans="1:20">
      <c r="F3" s="6">
        <v>50000</v>
      </c>
      <c r="I3" s="7">
        <v>4.9746884424179405E-2</v>
      </c>
      <c r="J3" s="39">
        <f>F3*I3</f>
        <v>2487.3442212089703</v>
      </c>
      <c r="M3" s="6"/>
      <c r="P3" s="39">
        <f>L3*O3</f>
        <v>0</v>
      </c>
      <c r="Q3" s="11"/>
      <c r="R3" s="9"/>
      <c r="S3" s="11">
        <v>50000</v>
      </c>
      <c r="T3" s="9">
        <f>5%</f>
        <v>0.05</v>
      </c>
    </row>
    <row r="4" spans="1:20">
      <c r="F4" s="6">
        <v>75000</v>
      </c>
      <c r="I4" s="7">
        <v>4.9123033718477427E-2</v>
      </c>
      <c r="J4" s="39">
        <f t="shared" ref="J4:J60" si="0">F4*I4</f>
        <v>3684.2275288858068</v>
      </c>
      <c r="L4" s="6">
        <v>75000</v>
      </c>
      <c r="M4" s="6"/>
      <c r="O4" s="7">
        <v>9.646955230166486E-2</v>
      </c>
      <c r="P4" s="39">
        <f t="shared" ref="P4:P60" si="1">L4*O4</f>
        <v>7235.2164226248642</v>
      </c>
      <c r="Q4" s="11"/>
      <c r="R4" s="9"/>
      <c r="S4" s="11">
        <v>50000</v>
      </c>
      <c r="T4" s="8">
        <f>5%</f>
        <v>0.05</v>
      </c>
    </row>
    <row r="5" spans="1:20">
      <c r="F5" s="6">
        <v>100000</v>
      </c>
      <c r="I5" s="7">
        <v>4.867322728813557E-2</v>
      </c>
      <c r="J5" s="39">
        <f t="shared" si="0"/>
        <v>4867.3227288135568</v>
      </c>
      <c r="L5" s="6">
        <v>100000</v>
      </c>
      <c r="M5" s="6"/>
      <c r="O5" s="7">
        <v>8.8195762288135568E-2</v>
      </c>
      <c r="P5" s="39">
        <f t="shared" si="1"/>
        <v>8819.5762288135575</v>
      </c>
      <c r="Q5" s="11"/>
      <c r="R5" s="9"/>
      <c r="S5" s="11">
        <v>50000</v>
      </c>
      <c r="T5" s="8">
        <f>5%</f>
        <v>0.05</v>
      </c>
    </row>
    <row r="6" spans="1:20">
      <c r="F6" s="6">
        <v>125000</v>
      </c>
      <c r="I6" s="7">
        <v>4.8775965254451881E-2</v>
      </c>
      <c r="J6" s="39">
        <f t="shared" si="0"/>
        <v>6096.9956568064854</v>
      </c>
      <c r="L6" s="6">
        <v>125000</v>
      </c>
      <c r="M6" s="6"/>
      <c r="O6" s="7">
        <v>8.2402664609486656E-2</v>
      </c>
      <c r="P6" s="39">
        <f t="shared" si="1"/>
        <v>10300.333076185832</v>
      </c>
      <c r="Q6" s="11"/>
      <c r="R6" s="9"/>
      <c r="S6" s="11">
        <v>50000</v>
      </c>
      <c r="T6" s="8">
        <f>5%</f>
        <v>0.05</v>
      </c>
    </row>
    <row r="7" spans="1:20">
      <c r="F7" s="6">
        <v>150000</v>
      </c>
      <c r="I7" s="7">
        <v>4.8276105392496466E-2</v>
      </c>
      <c r="J7" s="39">
        <f t="shared" si="0"/>
        <v>7241.4158088744698</v>
      </c>
      <c r="L7" s="6">
        <v>150000</v>
      </c>
      <c r="M7" s="6"/>
      <c r="O7" s="7">
        <v>7.803852774529095E-2</v>
      </c>
      <c r="P7" s="39">
        <f t="shared" si="1"/>
        <v>11705.779161793642</v>
      </c>
      <c r="Q7" s="11"/>
      <c r="R7" s="9"/>
      <c r="S7" s="11">
        <v>50000</v>
      </c>
      <c r="T7" s="8">
        <f>5%</f>
        <v>0.05</v>
      </c>
    </row>
    <row r="8" spans="1:20">
      <c r="F8" s="6">
        <v>175000</v>
      </c>
      <c r="I8" s="7">
        <v>4.7564539309056186E-2</v>
      </c>
      <c r="J8" s="39">
        <f t="shared" si="0"/>
        <v>8323.7943790848331</v>
      </c>
      <c r="L8" s="6">
        <v>175000</v>
      </c>
      <c r="M8" s="6"/>
      <c r="O8" s="7">
        <v>7.4589054846571648E-2</v>
      </c>
      <c r="P8" s="39">
        <f t="shared" si="1"/>
        <v>13053.084598150039</v>
      </c>
      <c r="Q8" s="11"/>
      <c r="R8" s="9"/>
      <c r="S8" s="11">
        <v>50000</v>
      </c>
      <c r="T8" s="8">
        <f>5%</f>
        <v>0.05</v>
      </c>
    </row>
    <row r="9" spans="1:20">
      <c r="F9" s="6">
        <v>200000</v>
      </c>
      <c r="I9" s="7">
        <v>4.67921069355113E-2</v>
      </c>
      <c r="J9" s="39">
        <f t="shared" si="0"/>
        <v>9358.4213871022603</v>
      </c>
      <c r="L9" s="6">
        <v>200000</v>
      </c>
      <c r="M9" s="6"/>
      <c r="O9" s="7">
        <v>7.176816744962361E-2</v>
      </c>
      <c r="P9" s="39">
        <f t="shared" si="1"/>
        <v>14353.633489924721</v>
      </c>
      <c r="Q9" s="11"/>
      <c r="R9" s="9"/>
      <c r="S9" s="11">
        <v>50000</v>
      </c>
      <c r="T9" s="8">
        <f>5%</f>
        <v>0.05</v>
      </c>
    </row>
    <row r="10" spans="1:20">
      <c r="F10" s="6">
        <v>225000</v>
      </c>
      <c r="I10" s="7">
        <v>4.6021393902011216E-2</v>
      </c>
      <c r="J10" s="39">
        <f t="shared" si="0"/>
        <v>10354.813627952524</v>
      </c>
      <c r="L10" s="6">
        <v>225000</v>
      </c>
      <c r="M10" s="6"/>
      <c r="O10" s="7">
        <v>6.9402003882259769E-2</v>
      </c>
      <c r="P10" s="39">
        <f t="shared" si="1"/>
        <v>15615.450873508447</v>
      </c>
      <c r="Q10" s="11"/>
      <c r="R10" s="9"/>
      <c r="S10" s="11">
        <v>50000</v>
      </c>
      <c r="T10" s="8">
        <f>5%</f>
        <v>0.05</v>
      </c>
    </row>
    <row r="11" spans="1:20">
      <c r="F11" s="6">
        <v>250000</v>
      </c>
      <c r="I11" s="7">
        <v>4.527871887040831E-2</v>
      </c>
      <c r="J11" s="39">
        <f t="shared" si="0"/>
        <v>11319.679717602077</v>
      </c>
      <c r="L11" s="6">
        <v>250000</v>
      </c>
      <c r="M11" s="6"/>
      <c r="O11" s="7">
        <v>6.7377820388153084E-2</v>
      </c>
      <c r="P11" s="39">
        <f t="shared" si="1"/>
        <v>16844.45509703827</v>
      </c>
      <c r="Q11" s="11"/>
      <c r="R11" s="9"/>
      <c r="S11" s="11">
        <v>50000</v>
      </c>
      <c r="T11" s="8">
        <f>5%</f>
        <v>0.05</v>
      </c>
    </row>
    <row r="12" spans="1:20">
      <c r="F12" s="6">
        <v>275000</v>
      </c>
      <c r="I12" s="7">
        <v>4.548441577962585E-2</v>
      </c>
      <c r="J12" s="39">
        <f t="shared" si="0"/>
        <v>12508.214339397109</v>
      </c>
      <c r="L12" s="6">
        <v>275000</v>
      </c>
      <c r="M12" s="6"/>
      <c r="O12" s="7">
        <v>6.5618781639793872E-2</v>
      </c>
      <c r="P12" s="39">
        <f t="shared" si="1"/>
        <v>18045.164950943315</v>
      </c>
      <c r="Q12" s="11"/>
      <c r="R12" s="9"/>
      <c r="S12" s="11">
        <v>50000</v>
      </c>
      <c r="T12" s="8">
        <f>5%</f>
        <v>0.05</v>
      </c>
    </row>
    <row r="13" spans="1:20">
      <c r="F13" s="6">
        <v>300000</v>
      </c>
      <c r="I13" s="7">
        <v>4.5540357969192528E-2</v>
      </c>
      <c r="J13" s="39">
        <f t="shared" si="0"/>
        <v>13662.107390757759</v>
      </c>
      <c r="L13" s="6">
        <v>300000</v>
      </c>
      <c r="M13" s="6"/>
      <c r="O13" s="7">
        <v>6.407042311636299E-2</v>
      </c>
      <c r="P13" s="39">
        <f t="shared" si="1"/>
        <v>19221.126934908898</v>
      </c>
      <c r="Q13" s="11"/>
      <c r="R13" s="9"/>
      <c r="S13" s="11">
        <v>50000</v>
      </c>
      <c r="T13" s="8">
        <f>5%</f>
        <v>0.05</v>
      </c>
    </row>
    <row r="14" spans="1:20">
      <c r="F14" s="6">
        <v>325000</v>
      </c>
      <c r="I14" s="7">
        <v>4.5496160659491337E-2</v>
      </c>
      <c r="J14" s="39">
        <f t="shared" si="0"/>
        <v>14786.252214334685</v>
      </c>
      <c r="L14" s="6">
        <v>325000</v>
      </c>
      <c r="M14" s="6"/>
      <c r="O14" s="7">
        <v>6.2692884585930184E-2</v>
      </c>
      <c r="P14" s="39">
        <f t="shared" si="1"/>
        <v>20375.18749042731</v>
      </c>
      <c r="Q14" s="11"/>
      <c r="R14" s="9"/>
      <c r="S14" s="11">
        <v>50000</v>
      </c>
      <c r="T14" s="8">
        <f>5%</f>
        <v>0.05</v>
      </c>
    </row>
    <row r="15" spans="1:20">
      <c r="F15" s="6">
        <v>350000</v>
      </c>
      <c r="I15" s="7">
        <v>4.5384275678202912E-2</v>
      </c>
      <c r="J15" s="39">
        <f t="shared" si="0"/>
        <v>15884.49648737102</v>
      </c>
      <c r="L15" s="6">
        <v>350000</v>
      </c>
      <c r="M15" s="6"/>
      <c r="O15" s="7">
        <v>6.1456211507204248E-2</v>
      </c>
      <c r="P15" s="39">
        <f t="shared" si="1"/>
        <v>21509.674027521487</v>
      </c>
      <c r="Q15" s="11"/>
      <c r="R15" s="9"/>
      <c r="S15" s="11">
        <v>50000</v>
      </c>
      <c r="T15" s="8">
        <f>5%</f>
        <v>0.05</v>
      </c>
    </row>
    <row r="16" spans="1:20">
      <c r="F16" s="6">
        <v>375000</v>
      </c>
      <c r="I16" s="7">
        <v>4.5226473936046639E-2</v>
      </c>
      <c r="J16" s="39">
        <f t="shared" si="0"/>
        <v>16959.927726017489</v>
      </c>
      <c r="L16" s="6">
        <v>375000</v>
      </c>
      <c r="M16" s="6"/>
      <c r="O16" s="7">
        <v>6.0337385644062963E-2</v>
      </c>
      <c r="P16" s="39">
        <f t="shared" si="1"/>
        <v>22626.519616523612</v>
      </c>
      <c r="Q16" s="11"/>
      <c r="R16" s="9"/>
      <c r="S16" s="11">
        <v>50000</v>
      </c>
      <c r="T16" s="8">
        <f>5%</f>
        <v>0.05</v>
      </c>
    </row>
    <row r="17" spans="6:20">
      <c r="F17" s="6">
        <v>400000</v>
      </c>
      <c r="I17" s="7">
        <v>4.5037666299307874E-2</v>
      </c>
      <c r="J17" s="39">
        <f t="shared" si="0"/>
        <v>18015.06651972315</v>
      </c>
      <c r="L17" s="6">
        <v>400000</v>
      </c>
      <c r="M17" s="6"/>
      <c r="O17" s="7">
        <v>5.9318378627296976E-2</v>
      </c>
      <c r="P17" s="39">
        <f t="shared" si="1"/>
        <v>23727.351450918792</v>
      </c>
      <c r="Q17" s="11"/>
      <c r="R17" s="9"/>
      <c r="S17" s="11">
        <v>50000</v>
      </c>
      <c r="T17" s="8">
        <f>5%</f>
        <v>0.05</v>
      </c>
    </row>
    <row r="18" spans="6:20">
      <c r="F18" s="6">
        <v>425000</v>
      </c>
      <c r="I18" s="7">
        <v>4.482823836003174E-2</v>
      </c>
      <c r="J18" s="39">
        <f t="shared" si="0"/>
        <v>19052.001303013491</v>
      </c>
      <c r="L18" s="6">
        <v>425000</v>
      </c>
      <c r="M18" s="6"/>
      <c r="O18" s="7">
        <v>5.8384835778251792E-2</v>
      </c>
      <c r="P18" s="39">
        <f t="shared" si="1"/>
        <v>24813.555205757013</v>
      </c>
      <c r="Q18" s="11"/>
      <c r="R18" s="9"/>
      <c r="S18" s="11">
        <v>50000</v>
      </c>
      <c r="T18" s="8">
        <f>5%</f>
        <v>0.05</v>
      </c>
    </row>
    <row r="19" spans="6:20">
      <c r="F19" s="6">
        <v>450000</v>
      </c>
      <c r="I19" s="7">
        <v>4.4605521796540211E-2</v>
      </c>
      <c r="J19" s="39">
        <f t="shared" si="0"/>
        <v>20072.484808443096</v>
      </c>
      <c r="L19" s="6">
        <v>450000</v>
      </c>
      <c r="M19" s="6"/>
      <c r="O19" s="7">
        <v>5.752516196823361E-2</v>
      </c>
      <c r="P19" s="39">
        <f t="shared" si="1"/>
        <v>25886.322885705125</v>
      </c>
      <c r="Q19" s="11"/>
      <c r="R19" s="9"/>
      <c r="S19" s="11">
        <v>50000</v>
      </c>
      <c r="T19" s="8">
        <f>5%</f>
        <v>0.05</v>
      </c>
    </row>
    <row r="20" spans="6:20">
      <c r="F20" s="6">
        <v>475000</v>
      </c>
      <c r="I20" s="7">
        <v>4.4374746650473897E-2</v>
      </c>
      <c r="J20" s="39">
        <f t="shared" si="0"/>
        <v>21078.0046589751</v>
      </c>
      <c r="L20" s="6">
        <v>475000</v>
      </c>
      <c r="M20" s="6"/>
      <c r="O20" s="7">
        <v>5.67298717399796E-2</v>
      </c>
      <c r="P20" s="39">
        <f t="shared" si="1"/>
        <v>26946.689076490311</v>
      </c>
      <c r="Q20" s="11"/>
      <c r="R20" s="9"/>
      <c r="S20" s="11">
        <v>50000</v>
      </c>
      <c r="T20" s="8">
        <f>5%</f>
        <v>0.05</v>
      </c>
    </row>
    <row r="21" spans="6:20">
      <c r="F21" s="6">
        <v>500000</v>
      </c>
      <c r="I21" s="7">
        <v>4.4139672114759533E-2</v>
      </c>
      <c r="J21" s="39">
        <f t="shared" si="0"/>
        <v>22069.836057379765</v>
      </c>
      <c r="L21" s="6">
        <v>500000</v>
      </c>
      <c r="M21" s="6"/>
      <c r="O21" s="7">
        <v>5.5991117740396411E-2</v>
      </c>
      <c r="P21" s="39">
        <f t="shared" si="1"/>
        <v>27995.558870198205</v>
      </c>
      <c r="Q21" s="11">
        <f>L21*O21</f>
        <v>27995.558870198205</v>
      </c>
      <c r="R21" s="9"/>
      <c r="S21" s="11">
        <v>50000</v>
      </c>
      <c r="T21" s="8">
        <f>5%</f>
        <v>0.05</v>
      </c>
    </row>
    <row r="22" spans="6:20">
      <c r="F22" s="6">
        <v>525000</v>
      </c>
      <c r="I22" s="7">
        <v>4.4025592334664833E-2</v>
      </c>
      <c r="J22" s="39">
        <f t="shared" si="0"/>
        <v>23113.435975699038</v>
      </c>
      <c r="L22" s="6">
        <v>525000</v>
      </c>
      <c r="M22" s="6"/>
      <c r="O22" s="7">
        <v>5.5424921658087836E-2</v>
      </c>
      <c r="P22" s="39">
        <f t="shared" si="1"/>
        <v>29098.083870496113</v>
      </c>
      <c r="Q22" s="11"/>
      <c r="R22" s="9"/>
      <c r="S22" s="11">
        <v>50000</v>
      </c>
      <c r="T22" s="8">
        <f>5%</f>
        <v>0.05</v>
      </c>
    </row>
    <row r="23" spans="6:20">
      <c r="F23" s="6">
        <v>550000</v>
      </c>
      <c r="I23" s="7">
        <v>4.3898021660797149E-2</v>
      </c>
      <c r="J23" s="39">
        <f t="shared" si="0"/>
        <v>24143.911913438431</v>
      </c>
      <c r="L23" s="6">
        <v>550000</v>
      </c>
      <c r="M23" s="6"/>
      <c r="O23" s="7">
        <v>5.4889304328774965E-2</v>
      </c>
      <c r="P23" s="39">
        <f t="shared" si="1"/>
        <v>30189.117380826232</v>
      </c>
      <c r="Q23" s="11"/>
      <c r="R23" s="9"/>
      <c r="S23" s="11">
        <v>50000</v>
      </c>
      <c r="T23" s="8">
        <f>5%</f>
        <v>0.05</v>
      </c>
    </row>
    <row r="24" spans="6:20">
      <c r="F24" s="6">
        <v>575000</v>
      </c>
      <c r="I24" s="7">
        <v>4.3760428649578652E-2</v>
      </c>
      <c r="J24" s="39">
        <f t="shared" si="0"/>
        <v>25162.246473507726</v>
      </c>
      <c r="L24" s="6">
        <v>575000</v>
      </c>
      <c r="M24" s="6"/>
      <c r="O24" s="7">
        <v>5.4381615140731442E-2</v>
      </c>
      <c r="P24" s="39">
        <f t="shared" si="1"/>
        <v>31269.428705920578</v>
      </c>
      <c r="Q24" s="11"/>
      <c r="R24" s="9"/>
      <c r="S24" s="11">
        <v>50000</v>
      </c>
      <c r="T24" s="8">
        <f>5%</f>
        <v>0.05</v>
      </c>
    </row>
    <row r="25" spans="6:20">
      <c r="F25" s="6">
        <v>600000</v>
      </c>
      <c r="I25" s="7">
        <v>4.3615508690206466E-2</v>
      </c>
      <c r="J25" s="39">
        <f t="shared" si="0"/>
        <v>26169.30521412388</v>
      </c>
      <c r="L25" s="6">
        <v>600000</v>
      </c>
      <c r="M25" s="6"/>
      <c r="O25" s="7">
        <v>5.3899505203483765E-2</v>
      </c>
      <c r="P25" s="39">
        <f t="shared" si="1"/>
        <v>32339.703122090257</v>
      </c>
      <c r="Q25" s="11"/>
      <c r="R25" s="9"/>
      <c r="S25" s="11">
        <v>50000</v>
      </c>
      <c r="T25" s="8">
        <f>5%</f>
        <v>0.05</v>
      </c>
    </row>
    <row r="26" spans="6:20">
      <c r="F26" s="6">
        <v>625000</v>
      </c>
      <c r="I26" s="7">
        <v>4.3465368280809463E-2</v>
      </c>
      <c r="J26" s="39">
        <f t="shared" si="0"/>
        <v>27165.855175505916</v>
      </c>
      <c r="L26" s="6">
        <v>625000</v>
      </c>
      <c r="M26" s="6"/>
      <c r="O26" s="7">
        <v>5.3440886857124968E-2</v>
      </c>
      <c r="P26" s="39">
        <f t="shared" si="1"/>
        <v>33400.554285703103</v>
      </c>
      <c r="Q26" s="11"/>
      <c r="R26" s="9"/>
      <c r="S26" s="11">
        <v>50000</v>
      </c>
      <c r="T26" s="8">
        <f>5%</f>
        <v>0.05</v>
      </c>
    </row>
    <row r="27" spans="6:20">
      <c r="F27" s="6">
        <v>650000</v>
      </c>
      <c r="I27" s="7">
        <v>4.3311661263021169E-2</v>
      </c>
      <c r="J27" s="39">
        <f t="shared" si="0"/>
        <v>28152.579820963758</v>
      </c>
      <c r="L27" s="6">
        <v>650000</v>
      </c>
      <c r="M27" s="6"/>
      <c r="O27" s="7">
        <v>5.3003899035840518E-2</v>
      </c>
      <c r="P27" s="39">
        <f t="shared" si="1"/>
        <v>34452.534373296337</v>
      </c>
      <c r="Q27" s="11"/>
      <c r="R27" s="9"/>
      <c r="S27" s="11">
        <v>50000</v>
      </c>
      <c r="T27" s="8">
        <f>5%</f>
        <v>0.05</v>
      </c>
    </row>
    <row r="28" spans="6:20">
      <c r="F28" s="6">
        <v>675000</v>
      </c>
      <c r="I28" s="7">
        <v>4.3155690668576219E-2</v>
      </c>
      <c r="J28" s="39">
        <f t="shared" si="0"/>
        <v>29130.091201288949</v>
      </c>
      <c r="L28" s="6">
        <v>675000</v>
      </c>
      <c r="M28" s="6"/>
      <c r="O28" s="7">
        <v>5.2586877690639952E-2</v>
      </c>
      <c r="P28" s="39">
        <f t="shared" si="1"/>
        <v>35496.142441181968</v>
      </c>
      <c r="Q28" s="11"/>
      <c r="R28" s="9"/>
      <c r="S28" s="11">
        <v>50000</v>
      </c>
      <c r="T28" s="8">
        <f>5%</f>
        <v>0.05</v>
      </c>
    </row>
    <row r="29" spans="6:20">
      <c r="F29" s="6">
        <v>700000</v>
      </c>
      <c r="I29" s="7">
        <v>4.29984856358556E-2</v>
      </c>
      <c r="J29" s="39">
        <f t="shared" si="0"/>
        <v>30098.939945098919</v>
      </c>
      <c r="L29" s="6">
        <v>700000</v>
      </c>
      <c r="M29" s="6"/>
      <c r="O29" s="7">
        <v>5.2188330532813465E-2</v>
      </c>
      <c r="P29" s="39">
        <f t="shared" si="1"/>
        <v>36531.831372969427</v>
      </c>
      <c r="Q29" s="11"/>
      <c r="R29" s="9"/>
      <c r="S29" s="11">
        <v>50000</v>
      </c>
      <c r="T29" s="8">
        <f>5%</f>
        <v>0.05</v>
      </c>
    </row>
    <row r="30" spans="6:20">
      <c r="F30" s="6">
        <v>725000</v>
      </c>
      <c r="I30" s="7">
        <v>4.2840860040975606E-2</v>
      </c>
      <c r="J30" s="39">
        <f t="shared" si="0"/>
        <v>31059.623529707314</v>
      </c>
      <c r="L30" s="6">
        <v>725000</v>
      </c>
      <c r="M30" s="6"/>
      <c r="O30" s="7">
        <v>5.1806915443477299E-2</v>
      </c>
      <c r="P30" s="39">
        <f t="shared" si="1"/>
        <v>37560.01369652104</v>
      </c>
      <c r="Q30" s="11"/>
      <c r="R30" s="9"/>
      <c r="S30" s="11">
        <v>50000</v>
      </c>
      <c r="T30" s="8">
        <f>5%</f>
        <v>0.05</v>
      </c>
    </row>
    <row r="31" spans="6:20">
      <c r="F31" s="6">
        <v>750000</v>
      </c>
      <c r="I31" s="7">
        <v>4.2683457572430403E-2</v>
      </c>
      <c r="J31" s="39">
        <f t="shared" si="0"/>
        <v>32012.593179322801</v>
      </c>
      <c r="L31" s="6">
        <v>750000</v>
      </c>
      <c r="M31" s="6"/>
      <c r="O31" s="7">
        <v>5.1441421983713383E-2</v>
      </c>
      <c r="P31" s="39">
        <f t="shared" si="1"/>
        <v>38581.066487785036</v>
      </c>
      <c r="Q31" s="11"/>
      <c r="R31" s="9"/>
      <c r="S31" s="11">
        <v>50000</v>
      </c>
      <c r="T31" s="8">
        <f>5%</f>
        <v>0.05</v>
      </c>
    </row>
    <row r="32" spans="6:20">
      <c r="F32" s="6">
        <v>775000</v>
      </c>
      <c r="I32" s="7">
        <v>4.2526786655424781E-2</v>
      </c>
      <c r="J32" s="39">
        <f t="shared" si="0"/>
        <v>32958.259657954208</v>
      </c>
      <c r="L32" s="6">
        <v>775000</v>
      </c>
      <c r="M32" s="6"/>
      <c r="O32" s="7">
        <v>5.1090755524057091E-2</v>
      </c>
      <c r="P32" s="39">
        <f t="shared" si="1"/>
        <v>39595.335531144243</v>
      </c>
      <c r="Q32" s="11"/>
      <c r="R32" s="9"/>
      <c r="S32" s="11">
        <v>50000</v>
      </c>
      <c r="T32" s="8">
        <f>5%</f>
        <v>0.05</v>
      </c>
    </row>
    <row r="33" spans="6:20">
      <c r="F33" s="6">
        <v>800000</v>
      </c>
      <c r="I33" s="7">
        <v>4.237124770647388E-2</v>
      </c>
      <c r="J33" s="39">
        <f t="shared" si="0"/>
        <v>33896.998165179102</v>
      </c>
      <c r="L33" s="6">
        <v>800000</v>
      </c>
      <c r="M33" s="6"/>
      <c r="O33" s="7">
        <v>5.0753923587311491E-2</v>
      </c>
      <c r="P33" s="39">
        <f t="shared" si="1"/>
        <v>40603.138869849194</v>
      </c>
      <c r="Q33" s="11"/>
      <c r="R33" s="9"/>
      <c r="S33" s="11">
        <v>50000</v>
      </c>
      <c r="T33" s="8">
        <f>5%</f>
        <v>0.05</v>
      </c>
    </row>
    <row r="34" spans="6:20">
      <c r="F34" s="6">
        <v>825000</v>
      </c>
      <c r="I34" s="7">
        <v>4.2217154543396883E-2</v>
      </c>
      <c r="J34" s="39">
        <f t="shared" si="0"/>
        <v>34829.152498302428</v>
      </c>
      <c r="L34" s="6">
        <v>825000</v>
      </c>
      <c r="M34" s="6"/>
      <c r="O34" s="7">
        <v>5.0430024063770014E-2</v>
      </c>
      <c r="P34" s="39">
        <f t="shared" si="1"/>
        <v>41604.769852610261</v>
      </c>
      <c r="Q34" s="11"/>
      <c r="R34" s="9"/>
      <c r="S34" s="11">
        <v>50000</v>
      </c>
      <c r="T34" s="8">
        <f>5%</f>
        <v>0.05</v>
      </c>
    </row>
    <row r="35" spans="6:20">
      <c r="F35" s="6">
        <v>850000</v>
      </c>
      <c r="I35" s="7">
        <v>4.2064751306416466E-2</v>
      </c>
      <c r="J35" s="39">
        <f t="shared" si="0"/>
        <v>35755.038610453994</v>
      </c>
      <c r="L35" s="6">
        <v>850000</v>
      </c>
      <c r="M35" s="6"/>
      <c r="O35" s="7">
        <v>5.0118235013248934E-2</v>
      </c>
      <c r="P35" s="39">
        <f t="shared" si="1"/>
        <v>42600.499761261592</v>
      </c>
      <c r="Q35" s="11"/>
      <c r="R35" s="9"/>
      <c r="S35" s="11">
        <v>50000</v>
      </c>
      <c r="T35" s="8">
        <f>5%</f>
        <v>0.05</v>
      </c>
    </row>
    <row r="36" spans="6:20">
      <c r="F36" s="6">
        <v>875000</v>
      </c>
      <c r="I36" s="7">
        <v>4.1914225906362623E-2</v>
      </c>
      <c r="J36" s="39">
        <f t="shared" si="0"/>
        <v>36674.947668067296</v>
      </c>
      <c r="L36" s="6">
        <v>875000</v>
      </c>
      <c r="M36" s="6"/>
      <c r="O36" s="7">
        <v>4.9817805814833929E-2</v>
      </c>
      <c r="P36" s="39">
        <f t="shared" si="1"/>
        <v>43590.580087979688</v>
      </c>
      <c r="Q36" s="11"/>
      <c r="R36" s="9"/>
      <c r="S36" s="11">
        <v>50000</v>
      </c>
      <c r="T36" s="8">
        <f>5%</f>
        <v>0.05</v>
      </c>
    </row>
    <row r="37" spans="6:20">
      <c r="F37" s="6">
        <v>900000</v>
      </c>
      <c r="I37" s="7">
        <v>4.1765720767715758E-2</v>
      </c>
      <c r="J37" s="39">
        <f t="shared" si="0"/>
        <v>37589.148690944181</v>
      </c>
      <c r="L37" s="6">
        <v>900000</v>
      </c>
      <c r="M37" s="6"/>
      <c r="O37" s="7">
        <v>4.9528049464080015E-2</v>
      </c>
      <c r="P37" s="39">
        <f t="shared" si="1"/>
        <v>44575.244517672014</v>
      </c>
      <c r="Q37" s="11"/>
      <c r="R37" s="9"/>
      <c r="S37" s="11">
        <v>50000</v>
      </c>
      <c r="T37" s="8">
        <f>5%</f>
        <v>0.05</v>
      </c>
    </row>
    <row r="38" spans="6:20">
      <c r="F38" s="6">
        <v>925000</v>
      </c>
      <c r="I38" s="7">
        <v>4.1619341451131046E-2</v>
      </c>
      <c r="J38" s="39">
        <f t="shared" si="0"/>
        <v>38497.890842296219</v>
      </c>
      <c r="L38" s="6">
        <v>925000</v>
      </c>
      <c r="M38" s="6"/>
      <c r="O38" s="7">
        <v>4.9248335849728916E-2</v>
      </c>
      <c r="P38" s="39">
        <f t="shared" si="1"/>
        <v>45554.710660999248</v>
      </c>
      <c r="Q38" s="11"/>
      <c r="R38" s="9"/>
      <c r="S38" s="11">
        <v>50000</v>
      </c>
      <c r="T38" s="8">
        <f>5%</f>
        <v>0.05</v>
      </c>
    </row>
    <row r="39" spans="6:20">
      <c r="F39" s="6">
        <v>950000</v>
      </c>
      <c r="I39" s="7">
        <v>4.1475163603892369E-2</v>
      </c>
      <c r="J39" s="39">
        <f t="shared" si="0"/>
        <v>39401.405423697754</v>
      </c>
      <c r="L39" s="6">
        <v>950000</v>
      </c>
      <c r="M39" s="6"/>
      <c r="O39" s="7">
        <v>4.8978085868865963E-2</v>
      </c>
      <c r="P39" s="39">
        <f t="shared" si="1"/>
        <v>46529.181575422663</v>
      </c>
      <c r="Q39" s="11"/>
      <c r="R39" s="9"/>
      <c r="S39" s="11">
        <v>50000</v>
      </c>
      <c r="T39" s="8">
        <f>5%</f>
        <v>0.05</v>
      </c>
    </row>
    <row r="40" spans="6:20">
      <c r="F40" s="6">
        <v>975000</v>
      </c>
      <c r="I40" s="7">
        <v>4.1333238584623892E-2</v>
      </c>
      <c r="J40" s="39">
        <f t="shared" si="0"/>
        <v>40299.907620008293</v>
      </c>
      <c r="L40" s="6">
        <v>975000</v>
      </c>
      <c r="M40" s="6"/>
      <c r="O40" s="7">
        <v>4.8716766261752684E-2</v>
      </c>
      <c r="P40" s="39">
        <f t="shared" si="1"/>
        <v>47498.847105208864</v>
      </c>
      <c r="Q40" s="11"/>
      <c r="R40" s="9"/>
      <c r="S40" s="11">
        <v>50000</v>
      </c>
      <c r="T40" s="8">
        <f>5%</f>
        <v>0.05</v>
      </c>
    </row>
    <row r="41" spans="6:20">
      <c r="F41" s="6">
        <v>1000000</v>
      </c>
      <c r="I41" s="7">
        <v>4.1193598031430974E-2</v>
      </c>
      <c r="J41" s="39">
        <f t="shared" si="0"/>
        <v>41193.598031430971</v>
      </c>
      <c r="L41" s="6">
        <v>1000000</v>
      </c>
      <c r="M41" s="6"/>
      <c r="O41" s="7">
        <v>4.8463885066118713E-2</v>
      </c>
      <c r="P41" s="39">
        <f t="shared" si="1"/>
        <v>48463.88506611871</v>
      </c>
      <c r="Q41" s="11"/>
      <c r="R41" s="9"/>
      <c r="S41" s="11">
        <v>50000</v>
      </c>
      <c r="T41" s="8">
        <f>5%</f>
        <v>0.05</v>
      </c>
    </row>
    <row r="42" spans="6:20">
      <c r="F42" s="6">
        <v>1025000</v>
      </c>
      <c r="I42" s="7">
        <v>4.1056257583935177E-2</v>
      </c>
      <c r="J42" s="39">
        <f t="shared" si="0"/>
        <v>42082.664023533558</v>
      </c>
      <c r="L42" s="6">
        <v>1025000</v>
      </c>
      <c r="M42" s="6"/>
      <c r="O42" s="7">
        <v>4.8218987606135862E-2</v>
      </c>
      <c r="P42" s="39">
        <f t="shared" si="1"/>
        <v>49424.462296289261</v>
      </c>
      <c r="Q42" s="11"/>
      <c r="R42" s="9"/>
      <c r="S42" s="11">
        <v>50000</v>
      </c>
      <c r="T42" s="8">
        <f>5%</f>
        <v>0.05</v>
      </c>
    </row>
    <row r="43" spans="6:20">
      <c r="F43" s="6">
        <v>1050000</v>
      </c>
      <c r="I43" s="7">
        <v>4.0921219924695336E-2</v>
      </c>
      <c r="J43" s="39">
        <f t="shared" si="0"/>
        <v>42967.280920930105</v>
      </c>
      <c r="L43" s="6">
        <v>1050000</v>
      </c>
      <c r="M43" s="6"/>
      <c r="O43" s="7">
        <v>4.7981652944169194E-2</v>
      </c>
      <c r="P43" s="39">
        <f t="shared" si="1"/>
        <v>50380.735591377656</v>
      </c>
      <c r="Q43" s="11"/>
      <c r="R43" s="9"/>
      <c r="S43" s="11">
        <v>50000</v>
      </c>
      <c r="T43" s="8">
        <f>5%</f>
        <v>0.05</v>
      </c>
    </row>
    <row r="44" spans="6:20">
      <c r="F44" s="6">
        <v>1075000</v>
      </c>
      <c r="I44" s="7">
        <v>4.0788477270838924E-2</v>
      </c>
      <c r="J44" s="39">
        <f t="shared" si="0"/>
        <v>43847.61306615184</v>
      </c>
      <c r="L44" s="6">
        <v>1075000</v>
      </c>
      <c r="M44" s="6"/>
      <c r="O44" s="7">
        <v>4.7751490734155549E-2</v>
      </c>
      <c r="P44" s="39">
        <f t="shared" si="1"/>
        <v>51332.852539217216</v>
      </c>
      <c r="Q44" s="11"/>
      <c r="R44" s="9"/>
      <c r="S44" s="11">
        <v>50000</v>
      </c>
      <c r="T44" s="8">
        <f>5%</f>
        <v>0.05</v>
      </c>
    </row>
    <row r="45" spans="6:20">
      <c r="F45" s="6">
        <v>1100000</v>
      </c>
      <c r="I45" s="7">
        <v>4.065801341984044E-2</v>
      </c>
      <c r="J45" s="39">
        <f t="shared" si="0"/>
        <v>44723.814761824484</v>
      </c>
      <c r="L45" s="6">
        <v>1100000</v>
      </c>
      <c r="M45" s="6"/>
      <c r="O45" s="7">
        <v>4.7528138424465433E-2</v>
      </c>
      <c r="P45" s="39">
        <f t="shared" si="1"/>
        <v>52280.952266911976</v>
      </c>
      <c r="Q45" s="11"/>
      <c r="R45" s="9"/>
      <c r="S45" s="11">
        <v>50000</v>
      </c>
      <c r="T45" s="8">
        <f>5%</f>
        <v>0.05</v>
      </c>
    </row>
    <row r="46" spans="6:20">
      <c r="F46" s="6">
        <v>1125000</v>
      </c>
      <c r="I46" s="7">
        <v>4.0529805432415557E-2</v>
      </c>
      <c r="J46" s="39">
        <f t="shared" si="0"/>
        <v>45596.031111467499</v>
      </c>
      <c r="L46" s="6">
        <v>1125000</v>
      </c>
      <c r="M46" s="6"/>
      <c r="O46" s="7">
        <v>4.7311258765665193E-2</v>
      </c>
      <c r="P46" s="39">
        <f t="shared" si="1"/>
        <v>53225.166111373343</v>
      </c>
      <c r="Q46" s="11"/>
      <c r="R46" s="9"/>
      <c r="S46" s="11">
        <v>50000</v>
      </c>
      <c r="T46" s="8">
        <f>5%</f>
        <v>0.05</v>
      </c>
    </row>
    <row r="47" spans="6:20">
      <c r="F47" s="6">
        <v>1150000</v>
      </c>
      <c r="I47" s="7">
        <v>4.0403825019055956E-2</v>
      </c>
      <c r="J47" s="39">
        <f t="shared" si="0"/>
        <v>46464.398771914348</v>
      </c>
      <c r="L47" s="6">
        <v>1150000</v>
      </c>
      <c r="M47" s="6"/>
      <c r="O47" s="7">
        <v>4.710053758495724E-2</v>
      </c>
      <c r="P47" s="39">
        <f t="shared" si="1"/>
        <v>54165.618222700825</v>
      </c>
      <c r="Q47" s="11"/>
      <c r="R47" s="9"/>
      <c r="S47" s="11">
        <v>50000</v>
      </c>
      <c r="T47" s="8">
        <f>5%</f>
        <v>0.05</v>
      </c>
    </row>
    <row r="48" spans="6:20">
      <c r="F48" s="6">
        <v>1175000</v>
      </c>
      <c r="I48" s="7">
        <v>4.028003968377207E-2</v>
      </c>
      <c r="J48" s="39">
        <f t="shared" si="0"/>
        <v>47329.046628432181</v>
      </c>
      <c r="L48" s="6">
        <v>1175000</v>
      </c>
      <c r="M48" s="6"/>
      <c r="O48" s="7">
        <v>4.6895681794444907E-2</v>
      </c>
      <c r="P48" s="39">
        <f t="shared" si="1"/>
        <v>55102.42610847277</v>
      </c>
      <c r="Q48" s="11"/>
      <c r="R48" s="9"/>
      <c r="S48" s="11">
        <v>50000</v>
      </c>
      <c r="T48" s="8">
        <f>5%</f>
        <v>0.05</v>
      </c>
    </row>
    <row r="49" spans="6:20">
      <c r="F49" s="6">
        <v>1200000</v>
      </c>
      <c r="I49" s="7">
        <v>4.0158413668347985E-2</v>
      </c>
      <c r="J49" s="39">
        <f t="shared" si="0"/>
        <v>48190.096402017582</v>
      </c>
      <c r="L49" s="6">
        <v>1200000</v>
      </c>
      <c r="M49" s="6"/>
      <c r="O49" s="7">
        <v>4.6696417604907982E-2</v>
      </c>
      <c r="P49" s="39">
        <f t="shared" si="1"/>
        <v>56035.70112588958</v>
      </c>
      <c r="Q49" s="11"/>
      <c r="R49" s="9"/>
      <c r="S49" s="11">
        <v>50000</v>
      </c>
      <c r="T49" s="8">
        <f>5%</f>
        <v>0.05</v>
      </c>
    </row>
    <row r="50" spans="6:20">
      <c r="F50" s="6">
        <v>1225000</v>
      </c>
      <c r="I50" s="7">
        <v>4.0038908732248031E-2</v>
      </c>
      <c r="J50" s="39">
        <f t="shared" si="0"/>
        <v>49047.663197003836</v>
      </c>
      <c r="L50" s="6">
        <v>1225000</v>
      </c>
      <c r="M50" s="6"/>
      <c r="O50" s="7">
        <v>4.6502488920625917E-2</v>
      </c>
      <c r="P50" s="39">
        <f t="shared" si="1"/>
        <v>56965.548927766751</v>
      </c>
      <c r="Q50" s="11"/>
      <c r="R50" s="9"/>
      <c r="S50" s="11">
        <v>50000</v>
      </c>
      <c r="T50" s="8">
        <f>5%</f>
        <v>0.05</v>
      </c>
    </row>
    <row r="51" spans="6:20">
      <c r="F51" s="6">
        <v>1250000</v>
      </c>
      <c r="I51" s="7">
        <v>3.992148479679121E-2</v>
      </c>
      <c r="J51" s="39">
        <f t="shared" si="0"/>
        <v>49901.855995989012</v>
      </c>
      <c r="L51" s="6">
        <v>1250000</v>
      </c>
      <c r="M51" s="6"/>
      <c r="O51" s="7">
        <v>4.6313655894059995E-2</v>
      </c>
      <c r="P51" s="39">
        <f t="shared" si="1"/>
        <v>57892.069867574995</v>
      </c>
      <c r="Q51" s="11"/>
      <c r="R51" s="9"/>
      <c r="S51" s="11">
        <v>50000</v>
      </c>
      <c r="T51" s="8">
        <f>5%</f>
        <v>0.05</v>
      </c>
    </row>
    <row r="52" spans="6:20">
      <c r="F52" s="6">
        <v>1275000</v>
      </c>
      <c r="I52" s="7">
        <v>3.98061004769747E-2</v>
      </c>
      <c r="J52" s="39">
        <f t="shared" si="0"/>
        <v>50752.778108142746</v>
      </c>
      <c r="L52" s="6">
        <v>1275000</v>
      </c>
      <c r="M52" s="6"/>
      <c r="O52" s="7">
        <v>4.6129693621996773E-2</v>
      </c>
      <c r="P52" s="39">
        <f t="shared" si="1"/>
        <v>58815.359368045887</v>
      </c>
      <c r="Q52" s="11"/>
      <c r="R52" s="9"/>
      <c r="S52" s="11">
        <v>50000</v>
      </c>
      <c r="T52" s="8">
        <f>5%</f>
        <v>0.05</v>
      </c>
    </row>
    <row r="53" spans="6:20">
      <c r="F53" s="6">
        <v>1300000</v>
      </c>
      <c r="I53" s="7">
        <v>3.9692713520111E-2</v>
      </c>
      <c r="J53" s="39">
        <f t="shared" si="0"/>
        <v>51600.527576144297</v>
      </c>
      <c r="L53" s="6">
        <v>1300000</v>
      </c>
      <c r="M53" s="6"/>
      <c r="O53" s="7">
        <v>4.5950390967139772E-2</v>
      </c>
      <c r="P53" s="39">
        <f t="shared" si="1"/>
        <v>59735.508257281705</v>
      </c>
      <c r="Q53" s="11"/>
      <c r="R53" s="9"/>
      <c r="S53" s="11">
        <v>50000</v>
      </c>
      <c r="T53" s="8">
        <f>5%</f>
        <v>0.05</v>
      </c>
    </row>
    <row r="54" spans="6:20">
      <c r="F54" s="6">
        <v>1325000</v>
      </c>
      <c r="I54" s="7">
        <v>3.9581281167034438E-2</v>
      </c>
      <c r="J54" s="39">
        <f t="shared" si="0"/>
        <v>52445.197546320633</v>
      </c>
      <c r="L54" s="6">
        <v>1325000</v>
      </c>
      <c r="M54" s="6"/>
      <c r="O54" s="7">
        <v>4.5775549491181448E-2</v>
      </c>
      <c r="P54" s="39">
        <f t="shared" si="1"/>
        <v>60652.603075815416</v>
      </c>
      <c r="Q54" s="11"/>
      <c r="R54" s="9"/>
      <c r="S54" s="11">
        <v>50000</v>
      </c>
      <c r="T54" s="8">
        <f>5%</f>
        <v>0.05</v>
      </c>
    </row>
    <row r="55" spans="6:20">
      <c r="F55" s="6">
        <v>1350000</v>
      </c>
      <c r="I55" s="7">
        <v>3.9471760448865661E-2</v>
      </c>
      <c r="J55" s="39">
        <f t="shared" si="0"/>
        <v>53286.876605968646</v>
      </c>
      <c r="L55" s="6">
        <v>1350000</v>
      </c>
      <c r="M55" s="6"/>
      <c r="O55" s="7">
        <v>4.5604982487141094E-2</v>
      </c>
      <c r="P55" s="39">
        <f t="shared" si="1"/>
        <v>61566.726357640473</v>
      </c>
    </row>
    <row r="56" spans="6:20">
      <c r="F56" s="6">
        <v>1375000</v>
      </c>
      <c r="I56" s="7">
        <v>3.9364108430070557E-2</v>
      </c>
      <c r="J56" s="39">
        <f t="shared" si="0"/>
        <v>54125.649091347019</v>
      </c>
      <c r="L56" s="6">
        <v>1375000</v>
      </c>
      <c r="M56" s="6"/>
      <c r="O56" s="7">
        <v>4.5438514100266461E-2</v>
      </c>
      <c r="P56" s="39">
        <f t="shared" si="1"/>
        <v>62477.956887866385</v>
      </c>
    </row>
    <row r="57" spans="6:20">
      <c r="F57" s="6">
        <v>1400000</v>
      </c>
      <c r="I57" s="7">
        <v>3.9258282406710004E-2</v>
      </c>
      <c r="J57" s="39">
        <f t="shared" si="0"/>
        <v>54961.595369394003</v>
      </c>
      <c r="L57" s="6">
        <v>1400000</v>
      </c>
      <c r="M57" s="6"/>
      <c r="O57" s="7">
        <v>4.5275978528100252E-2</v>
      </c>
      <c r="P57" s="39">
        <f t="shared" si="1"/>
        <v>63386.369939340351</v>
      </c>
    </row>
    <row r="58" spans="6:20">
      <c r="F58" s="6">
        <v>1425000</v>
      </c>
      <c r="I58" s="7">
        <v>3.9154240067269308E-2</v>
      </c>
      <c r="J58" s="39">
        <f t="shared" si="0"/>
        <v>55794.792095858764</v>
      </c>
      <c r="L58" s="6">
        <v>1425000</v>
      </c>
      <c r="M58" s="6"/>
      <c r="O58" s="7">
        <v>4.5117219291440983E-2</v>
      </c>
      <c r="P58" s="39">
        <f t="shared" si="1"/>
        <v>64292.037490303403</v>
      </c>
    </row>
    <row r="59" spans="6:20">
      <c r="F59" s="6">
        <v>1450000</v>
      </c>
      <c r="I59" s="7">
        <v>3.9051939622216994E-2</v>
      </c>
      <c r="J59" s="39">
        <f t="shared" si="0"/>
        <v>56625.312452214639</v>
      </c>
      <c r="L59" s="6">
        <v>1450000</v>
      </c>
      <c r="M59" s="6"/>
      <c r="O59" s="7">
        <v>4.4962088568904532E-2</v>
      </c>
      <c r="P59" s="39">
        <f t="shared" si="1"/>
        <v>65195.028424911572</v>
      </c>
    </row>
    <row r="60" spans="6:20">
      <c r="F60" s="6">
        <v>1475000</v>
      </c>
      <c r="I60" s="7">
        <v>3.8951339907422625E-2</v>
      </c>
      <c r="J60" s="39">
        <f t="shared" si="0"/>
        <v>57453.226363448368</v>
      </c>
      <c r="L60" s="6">
        <v>1475000</v>
      </c>
      <c r="M60" s="6"/>
      <c r="O60" s="7">
        <v>4.4810446588643492E-2</v>
      </c>
      <c r="P60" s="39">
        <f t="shared" si="1"/>
        <v>66095.408718249149</v>
      </c>
    </row>
    <row r="61" spans="6:20">
      <c r="L61" s="39"/>
      <c r="M61" s="7"/>
    </row>
    <row r="62" spans="6:20">
      <c r="L62" s="39"/>
      <c r="M62" s="7"/>
    </row>
    <row r="63" spans="6:20">
      <c r="L63" s="39"/>
      <c r="M63" s="7"/>
    </row>
    <row r="64" spans="6:20">
      <c r="L64" s="39"/>
      <c r="M64" s="7"/>
    </row>
    <row r="65" spans="12:13">
      <c r="L65" s="39"/>
      <c r="M65" s="7"/>
    </row>
    <row r="66" spans="12:13">
      <c r="L66" s="39"/>
      <c r="M66" s="7"/>
    </row>
    <row r="67" spans="12:13">
      <c r="L67" s="39"/>
      <c r="M67" s="7"/>
    </row>
    <row r="68" spans="12:13">
      <c r="L68" s="39"/>
      <c r="M68" s="7"/>
    </row>
    <row r="69" spans="12:13">
      <c r="L69" s="39"/>
      <c r="M69" s="7"/>
    </row>
    <row r="70" spans="12:13">
      <c r="L70" s="39"/>
      <c r="M70" s="7"/>
    </row>
    <row r="71" spans="12:13">
      <c r="L71" s="39"/>
      <c r="M71" s="7"/>
    </row>
    <row r="72" spans="12:13">
      <c r="L72" s="39"/>
      <c r="M72" s="7"/>
    </row>
    <row r="73" spans="12:13">
      <c r="L73" s="39"/>
      <c r="M73" s="7"/>
    </row>
    <row r="74" spans="12:13">
      <c r="L74" s="39"/>
      <c r="M74" s="7"/>
    </row>
    <row r="75" spans="12:13">
      <c r="L75" s="39"/>
      <c r="M75" s="7"/>
    </row>
    <row r="76" spans="12:13">
      <c r="L76" s="39"/>
      <c r="M76" s="7"/>
    </row>
    <row r="77" spans="12:13">
      <c r="L77" s="39"/>
      <c r="M77" s="7"/>
    </row>
    <row r="78" spans="12:13">
      <c r="L78" s="39"/>
      <c r="M78" s="7"/>
    </row>
    <row r="79" spans="12:13">
      <c r="L79" s="39"/>
      <c r="M79" s="7"/>
    </row>
    <row r="80" spans="12:13">
      <c r="L80" s="39"/>
      <c r="M80" s="7"/>
    </row>
  </sheetData>
  <sheetProtection password="CCF4" sheet="1" objects="1" scenarios="1"/>
  <mergeCells count="2">
    <mergeCell ref="A2:D2"/>
    <mergeCell ref="L2:O2"/>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Foglio5"/>
  <dimension ref="A2:X198"/>
  <sheetViews>
    <sheetView zoomScale="80" zoomScaleNormal="80" workbookViewId="0">
      <selection activeCell="A4" sqref="A4"/>
    </sheetView>
  </sheetViews>
  <sheetFormatPr defaultRowHeight="15"/>
  <cols>
    <col min="1" max="1" width="15.7109375" style="6" bestFit="1" customWidth="1"/>
    <col min="4" max="4" width="13.5703125" style="131" customWidth="1"/>
    <col min="6" max="6" width="15.7109375" style="6" bestFit="1" customWidth="1"/>
    <col min="7" max="7" width="16.7109375" style="6" customWidth="1"/>
    <col min="9" max="9" width="13" style="7" bestFit="1" customWidth="1"/>
    <col min="10" max="10" width="9.28515625" style="7" bestFit="1" customWidth="1"/>
    <col min="12" max="12" width="10.140625" bestFit="1" customWidth="1"/>
    <col min="13" max="13" width="12" bestFit="1" customWidth="1"/>
    <col min="15" max="15" width="15.7109375" bestFit="1" customWidth="1"/>
    <col min="16" max="16" width="12.85546875" bestFit="1" customWidth="1"/>
    <col min="17" max="17" width="15.7109375" bestFit="1" customWidth="1"/>
    <col min="18" max="19" width="12.85546875" bestFit="1" customWidth="1"/>
    <col min="20" max="20" width="17.28515625" bestFit="1" customWidth="1"/>
    <col min="21" max="21" width="9.28515625" bestFit="1" customWidth="1"/>
  </cols>
  <sheetData>
    <row r="2" spans="1:24" ht="75.75" customHeight="1">
      <c r="A2" s="406"/>
      <c r="B2" s="406"/>
      <c r="C2" s="406"/>
      <c r="D2" s="406"/>
      <c r="E2" s="25"/>
      <c r="F2" s="406"/>
      <c r="G2" s="406"/>
      <c r="H2" s="406"/>
      <c r="I2" s="406"/>
      <c r="M2" s="126" t="s">
        <v>313</v>
      </c>
      <c r="O2" s="409" t="s">
        <v>364</v>
      </c>
      <c r="P2" s="409"/>
      <c r="Q2" s="409"/>
      <c r="R2" s="409"/>
      <c r="T2" s="408" t="s">
        <v>384</v>
      </c>
      <c r="U2" s="408"/>
      <c r="V2" s="408"/>
      <c r="W2" s="408"/>
      <c r="X2" s="408"/>
    </row>
    <row r="3" spans="1:24" ht="79.5" customHeight="1">
      <c r="A3" s="410" t="s">
        <v>386</v>
      </c>
      <c r="B3" s="410"/>
      <c r="C3" s="410"/>
      <c r="D3" s="410"/>
      <c r="E3" s="25"/>
      <c r="F3" s="408" t="s">
        <v>387</v>
      </c>
      <c r="G3" s="408"/>
      <c r="H3" s="408"/>
      <c r="I3" s="408"/>
      <c r="M3" s="126"/>
      <c r="O3" s="127"/>
      <c r="P3" s="127"/>
      <c r="Q3" s="128">
        <f ca="1">SUM('SPESE TEC. AMBITO A'!G127:W127)</f>
        <v>11040.360079570102</v>
      </c>
      <c r="R3" s="127"/>
    </row>
    <row r="4" spans="1:24">
      <c r="A4" s="6">
        <v>50000</v>
      </c>
      <c r="B4" s="6"/>
      <c r="D4" s="131">
        <v>9.9709799260830609E-2</v>
      </c>
      <c r="F4" s="6">
        <v>50000</v>
      </c>
      <c r="I4" s="7">
        <v>7.6715679136678205E-2</v>
      </c>
      <c r="J4" s="4"/>
      <c r="L4" s="4"/>
      <c r="M4" s="7">
        <f>IF(A4&lt;=500000,A4*0.1/A4,IF(A4&lt;=1000000,500000*0.1/A4+(A4-500000)*0.05/A4,500000*0.1/A4+500000*0.05/A4+(A4-1000000)*0.025/A4))</f>
        <v>0.1</v>
      </c>
      <c r="O4" s="120">
        <v>50000</v>
      </c>
      <c r="Q4" s="124">
        <f ca="1">Q3/'SPESE TEC. AMBITO A'!O4</f>
        <v>2.2080720159140206E-2</v>
      </c>
      <c r="R4" s="9">
        <v>5.3514099192738307E-2</v>
      </c>
      <c r="S4" s="8">
        <f>R4/D4</f>
        <v>0.53669849492677157</v>
      </c>
      <c r="T4" s="6">
        <v>50000</v>
      </c>
      <c r="U4" s="6"/>
      <c r="W4" s="131">
        <v>0.69246047132311217</v>
      </c>
    </row>
    <row r="5" spans="1:24">
      <c r="A5" s="6">
        <v>75000</v>
      </c>
      <c r="B5" s="6"/>
      <c r="D5" s="131">
        <v>9.5618591284841153E-2</v>
      </c>
      <c r="F5" s="6">
        <v>75000</v>
      </c>
      <c r="I5" s="7">
        <v>7.186453077660894E-2</v>
      </c>
      <c r="L5" s="4"/>
      <c r="M5" s="7">
        <f t="shared" ref="M5:M68" si="0">IF(A5&lt;=500000,A5*0.1/A5,IF(A5&lt;=1000000,500000*0.1/A5+(A5-500000)*0.05/A5,500000*0.1/A5+500000*0.05/A5+(A5-1000000)*0.025/A5))</f>
        <v>0.1</v>
      </c>
      <c r="O5" s="120">
        <v>75000</v>
      </c>
      <c r="R5" s="9">
        <v>4.7687032297842526E-2</v>
      </c>
      <c r="S5" s="8">
        <f t="shared" ref="S5:S68" si="1">R5/D5</f>
        <v>0.4987213433817087</v>
      </c>
      <c r="T5" s="6">
        <v>75000</v>
      </c>
      <c r="U5" s="6"/>
      <c r="W5" s="131">
        <v>0.61795006471636593</v>
      </c>
    </row>
    <row r="6" spans="1:24">
      <c r="A6" s="6">
        <v>100000</v>
      </c>
      <c r="B6" s="6"/>
      <c r="D6" s="131">
        <v>9.3678388428561479E-2</v>
      </c>
      <c r="F6" s="6">
        <v>100000</v>
      </c>
      <c r="I6" s="7">
        <v>6.9180049967767193E-2</v>
      </c>
      <c r="L6" s="4"/>
      <c r="M6" s="7">
        <f t="shared" si="0"/>
        <v>0.1</v>
      </c>
      <c r="O6" s="120">
        <v>100000</v>
      </c>
      <c r="R6" s="9">
        <v>4.4089812134831617E-2</v>
      </c>
      <c r="S6" s="8">
        <f t="shared" si="1"/>
        <v>0.47065083926432205</v>
      </c>
      <c r="T6" s="6">
        <v>100000</v>
      </c>
      <c r="U6" s="6"/>
      <c r="W6" s="131">
        <v>0.57195259431925971</v>
      </c>
    </row>
    <row r="7" spans="1:24">
      <c r="A7" s="6">
        <v>125000</v>
      </c>
      <c r="B7" s="6"/>
      <c r="D7" s="131">
        <v>9.2706183022148295E-2</v>
      </c>
      <c r="F7" s="6">
        <v>125000</v>
      </c>
      <c r="I7" s="7">
        <v>6.7493161709608188E-2</v>
      </c>
      <c r="L7" s="4"/>
      <c r="M7" s="7">
        <f t="shared" si="0"/>
        <v>0.1</v>
      </c>
      <c r="O7" s="120">
        <v>125000</v>
      </c>
      <c r="R7" s="9">
        <v>4.1571129917631081E-2</v>
      </c>
      <c r="S7" s="8">
        <f t="shared" si="1"/>
        <v>0.44841809426777268</v>
      </c>
      <c r="T7" s="6">
        <v>125000</v>
      </c>
      <c r="U7" s="6"/>
      <c r="W7" s="131">
        <v>0.53974633351913359</v>
      </c>
    </row>
    <row r="8" spans="1:24">
      <c r="A8" s="6">
        <v>150000</v>
      </c>
      <c r="B8" s="6"/>
      <c r="D8" s="131">
        <v>9.2620798206159247E-2</v>
      </c>
      <c r="F8" s="6">
        <v>150000</v>
      </c>
      <c r="I8" s="7">
        <v>6.6572743719625599E-2</v>
      </c>
      <c r="L8" s="4"/>
      <c r="M8" s="7">
        <f t="shared" si="0"/>
        <v>0.1</v>
      </c>
      <c r="O8" s="120">
        <v>150000</v>
      </c>
      <c r="R8" s="9">
        <v>3.9673721221452719E-2</v>
      </c>
      <c r="S8" s="8">
        <f t="shared" si="1"/>
        <v>0.42834570625428309</v>
      </c>
      <c r="T8" s="6">
        <v>150000</v>
      </c>
      <c r="U8" s="6"/>
      <c r="W8" s="131">
        <v>0.51548426548362436</v>
      </c>
    </row>
    <row r="9" spans="1:24">
      <c r="A9" s="6">
        <v>175000</v>
      </c>
      <c r="B9" s="6"/>
      <c r="D9" s="131">
        <v>9.2193231579028354E-2</v>
      </c>
      <c r="F9" s="6">
        <v>175000</v>
      </c>
      <c r="I9" s="7">
        <v>6.5662440477921954E-2</v>
      </c>
      <c r="L9" s="4"/>
      <c r="M9" s="7">
        <f t="shared" si="0"/>
        <v>0.1</v>
      </c>
      <c r="O9" s="120">
        <v>175000</v>
      </c>
      <c r="R9" s="9">
        <v>3.81739836836687E-2</v>
      </c>
      <c r="S9" s="8">
        <f t="shared" si="1"/>
        <v>0.41406492678311019</v>
      </c>
      <c r="T9" s="6">
        <v>175000</v>
      </c>
      <c r="U9" s="6"/>
      <c r="W9" s="131">
        <v>0.49630719822847219</v>
      </c>
    </row>
    <row r="10" spans="1:24">
      <c r="A10" s="6">
        <v>200000</v>
      </c>
      <c r="B10" s="6"/>
      <c r="D10" s="131">
        <v>9.1800512046387048E-2</v>
      </c>
      <c r="F10" s="6">
        <v>200000</v>
      </c>
      <c r="I10" s="7">
        <v>6.4906429387517478E-2</v>
      </c>
      <c r="L10" s="4"/>
      <c r="M10" s="7">
        <f t="shared" si="0"/>
        <v>0.1</v>
      </c>
      <c r="O10" s="120">
        <v>200000</v>
      </c>
      <c r="R10" s="9">
        <v>3.6947538124222287E-2</v>
      </c>
      <c r="S10" s="8">
        <f t="shared" si="1"/>
        <v>0.40247638385233186</v>
      </c>
      <c r="T10" s="6">
        <v>200000</v>
      </c>
      <c r="U10" s="6"/>
      <c r="W10" s="131">
        <v>0.48062470153439141</v>
      </c>
    </row>
    <row r="11" spans="1:24">
      <c r="A11" s="6">
        <v>225000</v>
      </c>
      <c r="B11" s="6"/>
      <c r="D11" s="131">
        <v>9.1424806294734665E-2</v>
      </c>
      <c r="F11" s="6">
        <v>225000</v>
      </c>
      <c r="I11" s="7">
        <v>6.4243511350232776E-2</v>
      </c>
      <c r="L11" s="4"/>
      <c r="M11" s="7">
        <f t="shared" si="0"/>
        <v>0.1</v>
      </c>
      <c r="O11" s="120">
        <v>225000</v>
      </c>
      <c r="R11" s="9">
        <v>3.5918794189509801E-2</v>
      </c>
      <c r="S11" s="8">
        <f t="shared" si="1"/>
        <v>0.39287799061575301</v>
      </c>
      <c r="T11" s="6">
        <v>225000</v>
      </c>
      <c r="U11" s="6"/>
      <c r="W11" s="131">
        <v>0.46747020541271572</v>
      </c>
    </row>
    <row r="12" spans="1:24">
      <c r="A12" s="6">
        <v>250000</v>
      </c>
      <c r="B12" s="6"/>
      <c r="D12" s="131">
        <v>9.1058549269625741E-2</v>
      </c>
      <c r="F12" s="6">
        <v>250000</v>
      </c>
      <c r="I12" s="7">
        <v>6.3661422965512582E-2</v>
      </c>
      <c r="L12" s="4"/>
      <c r="M12" s="7">
        <f t="shared" si="0"/>
        <v>0.1</v>
      </c>
      <c r="O12" s="120">
        <v>250000</v>
      </c>
      <c r="R12" s="9">
        <v>3.5038733943029261E-2</v>
      </c>
      <c r="S12" s="8">
        <f t="shared" si="1"/>
        <v>0.38479345678217475</v>
      </c>
      <c r="T12" s="6">
        <v>250000</v>
      </c>
      <c r="U12" s="6"/>
      <c r="W12" s="131">
        <v>0.45621692001433861</v>
      </c>
    </row>
    <row r="13" spans="1:24">
      <c r="A13" s="6">
        <v>275000</v>
      </c>
      <c r="B13" s="6"/>
      <c r="D13" s="131">
        <v>9.0698711424328921E-2</v>
      </c>
      <c r="F13" s="6">
        <v>275000</v>
      </c>
      <c r="I13" s="7">
        <v>6.3132383441691767E-2</v>
      </c>
      <c r="L13" s="4"/>
      <c r="M13" s="7">
        <f t="shared" si="0"/>
        <v>0.1</v>
      </c>
      <c r="O13" s="120">
        <v>275000</v>
      </c>
      <c r="R13" s="9">
        <v>3.4273951462114469E-2</v>
      </c>
      <c r="S13" s="8">
        <f t="shared" si="1"/>
        <v>0.37788796471171104</v>
      </c>
      <c r="T13" s="6">
        <v>275000</v>
      </c>
      <c r="U13" s="6"/>
      <c r="W13" s="131">
        <v>0.4464376855132568</v>
      </c>
    </row>
    <row r="14" spans="1:24">
      <c r="A14" s="6">
        <v>300000</v>
      </c>
      <c r="B14" s="6"/>
      <c r="D14" s="131">
        <v>8.91213043467491E-2</v>
      </c>
      <c r="F14" s="6">
        <v>300000</v>
      </c>
      <c r="I14" s="7">
        <v>6.2033593492877417E-2</v>
      </c>
      <c r="L14" s="4"/>
      <c r="M14" s="7">
        <f t="shared" si="0"/>
        <v>0.1</v>
      </c>
      <c r="O14" s="120">
        <v>300000</v>
      </c>
      <c r="R14" s="9">
        <v>3.3600767045910071E-2</v>
      </c>
      <c r="S14" s="8">
        <f t="shared" si="1"/>
        <v>0.37702283749324111</v>
      </c>
      <c r="T14" s="6">
        <v>300000</v>
      </c>
      <c r="U14" s="6"/>
      <c r="W14" s="131">
        <v>0.43777312447921268</v>
      </c>
    </row>
    <row r="15" spans="1:24">
      <c r="A15" s="6">
        <v>325000</v>
      </c>
      <c r="B15" s="6"/>
      <c r="D15" s="131">
        <v>8.880478393710875E-2</v>
      </c>
      <c r="F15" s="6">
        <v>325000</v>
      </c>
      <c r="I15" s="7">
        <v>6.1611880390849277E-2</v>
      </c>
      <c r="L15" s="4"/>
      <c r="M15" s="7">
        <f t="shared" si="0"/>
        <v>0.1</v>
      </c>
      <c r="O15" s="120">
        <v>325000</v>
      </c>
      <c r="R15" s="9">
        <v>3.3001850543449347E-2</v>
      </c>
      <c r="S15" s="8">
        <f t="shared" si="1"/>
        <v>0.37162244059758254</v>
      </c>
      <c r="T15" s="6">
        <v>325000</v>
      </c>
      <c r="U15" s="6"/>
      <c r="W15" s="131">
        <v>0.42977838400960011</v>
      </c>
    </row>
    <row r="16" spans="1:24">
      <c r="A16" s="6">
        <v>350000</v>
      </c>
      <c r="B16" s="6"/>
      <c r="D16" s="131">
        <v>8.8483133713154569E-2</v>
      </c>
      <c r="F16" s="6">
        <v>350000</v>
      </c>
      <c r="I16" s="7">
        <v>6.1204912563268328E-2</v>
      </c>
      <c r="L16" s="4"/>
      <c r="M16" s="7">
        <f t="shared" si="0"/>
        <v>0.1</v>
      </c>
      <c r="O16" s="120">
        <v>350000</v>
      </c>
      <c r="R16" s="9">
        <v>3.2464178530191679E-2</v>
      </c>
      <c r="S16" s="8">
        <f t="shared" si="1"/>
        <v>0.3668967990604215</v>
      </c>
      <c r="T16" s="6">
        <v>350000</v>
      </c>
      <c r="U16" s="6"/>
      <c r="W16" s="131">
        <v>0.42256945764883846</v>
      </c>
    </row>
    <row r="17" spans="1:23">
      <c r="A17" s="6">
        <v>375000</v>
      </c>
      <c r="B17" s="6"/>
      <c r="D17" s="131">
        <v>8.816178164367329E-2</v>
      </c>
      <c r="F17" s="6">
        <v>375000</v>
      </c>
      <c r="I17" s="7">
        <v>6.0831170178053548E-2</v>
      </c>
      <c r="L17" s="4"/>
      <c r="M17" s="7">
        <f t="shared" si="0"/>
        <v>0.1</v>
      </c>
      <c r="O17" s="120">
        <v>375000</v>
      </c>
      <c r="Q17" s="11"/>
      <c r="R17" s="9">
        <v>3.1977743299516373E-2</v>
      </c>
      <c r="S17" s="8">
        <f t="shared" si="1"/>
        <v>0.36271661828208046</v>
      </c>
      <c r="T17" s="6">
        <v>375000</v>
      </c>
      <c r="U17" s="6"/>
      <c r="W17" s="131">
        <v>0.41604222185309503</v>
      </c>
    </row>
    <row r="18" spans="1:23">
      <c r="A18" s="6">
        <v>400000</v>
      </c>
      <c r="B18" s="6"/>
      <c r="D18" s="131">
        <v>8.7843115926102056E-2</v>
      </c>
      <c r="F18" s="6">
        <v>400000</v>
      </c>
      <c r="I18" s="7">
        <v>6.0472798221841005E-2</v>
      </c>
      <c r="L18" s="4"/>
      <c r="M18" s="7">
        <f t="shared" si="0"/>
        <v>0.1</v>
      </c>
      <c r="O18" s="120">
        <v>400000</v>
      </c>
      <c r="Q18" s="11"/>
      <c r="R18" s="9">
        <v>3.1534706604003662E-2</v>
      </c>
      <c r="S18" s="8">
        <f t="shared" si="1"/>
        <v>0.35898893466543474</v>
      </c>
      <c r="T18" s="6">
        <v>400000</v>
      </c>
      <c r="U18" s="6"/>
      <c r="W18" s="131">
        <v>0.41009981333138412</v>
      </c>
    </row>
    <row r="19" spans="1:23">
      <c r="A19" s="6">
        <v>425000</v>
      </c>
      <c r="B19" s="6"/>
      <c r="D19" s="131">
        <v>8.7528492609333861E-2</v>
      </c>
      <c r="F19" s="6">
        <v>425000</v>
      </c>
      <c r="I19" s="7">
        <v>6.0131789226528447E-2</v>
      </c>
      <c r="L19" s="4"/>
      <c r="M19" s="7">
        <f t="shared" si="0"/>
        <v>0.1</v>
      </c>
      <c r="O19" s="120">
        <v>425000</v>
      </c>
      <c r="Q19" s="11"/>
      <c r="R19" s="9">
        <v>3.1128827417545111E-2</v>
      </c>
      <c r="S19" s="8">
        <f t="shared" si="1"/>
        <v>0.35564221991669026</v>
      </c>
      <c r="T19" s="6">
        <v>425000</v>
      </c>
      <c r="U19" s="6"/>
      <c r="W19" s="131">
        <v>0.40466093293051481</v>
      </c>
    </row>
    <row r="20" spans="1:23">
      <c r="A20" s="6">
        <v>450000</v>
      </c>
      <c r="B20" s="6"/>
      <c r="D20" s="131">
        <v>8.7218760157303524E-2</v>
      </c>
      <c r="F20" s="6">
        <v>450000</v>
      </c>
      <c r="I20" s="7">
        <v>5.981099714559255E-2</v>
      </c>
      <c r="L20" s="4"/>
      <c r="M20" s="7">
        <f t="shared" si="0"/>
        <v>0.1</v>
      </c>
      <c r="O20" s="120">
        <v>450000</v>
      </c>
      <c r="Q20" s="11"/>
      <c r="R20" s="9">
        <v>3.075506449173326E-2</v>
      </c>
      <c r="S20" s="8">
        <f t="shared" si="1"/>
        <v>0.352619831287041</v>
      </c>
      <c r="T20" s="6">
        <v>450000</v>
      </c>
      <c r="U20" s="6"/>
      <c r="W20" s="131">
        <v>0.39965835476637979</v>
      </c>
    </row>
    <row r="21" spans="1:23">
      <c r="A21" s="6">
        <v>475000</v>
      </c>
      <c r="B21" s="6"/>
      <c r="D21" s="131">
        <v>8.6914465966568724E-2</v>
      </c>
      <c r="F21" s="6">
        <v>475000</v>
      </c>
      <c r="I21" s="7">
        <v>5.9505305127778775E-2</v>
      </c>
      <c r="L21" s="4"/>
      <c r="M21" s="7">
        <f t="shared" si="0"/>
        <v>0.1</v>
      </c>
      <c r="O21" s="120">
        <v>475000</v>
      </c>
      <c r="Q21" s="11"/>
      <c r="R21" s="9">
        <v>3.0409293806250182E-2</v>
      </c>
      <c r="S21" s="8">
        <f t="shared" si="1"/>
        <v>0.34987609333004455</v>
      </c>
      <c r="T21" s="6">
        <v>475000</v>
      </c>
      <c r="U21" s="6"/>
      <c r="W21" s="131">
        <v>0.39503641241020621</v>
      </c>
    </row>
    <row r="22" spans="1:23">
      <c r="A22" s="6">
        <v>500000</v>
      </c>
      <c r="B22" s="6"/>
      <c r="D22" s="131">
        <v>8.6615959317986518E-2</v>
      </c>
      <c r="F22" s="6">
        <v>500000</v>
      </c>
      <c r="I22" s="7">
        <v>5.9210498191946827E-2</v>
      </c>
      <c r="L22" s="4"/>
      <c r="M22" s="7">
        <f t="shared" si="0"/>
        <v>0.1</v>
      </c>
      <c r="O22" s="120">
        <v>500000</v>
      </c>
      <c r="Q22" s="11"/>
      <c r="R22" s="9">
        <v>3.008810354417437E-2</v>
      </c>
      <c r="S22" s="8">
        <f t="shared" si="1"/>
        <v>0.34737366856048119</v>
      </c>
      <c r="T22" s="6">
        <v>500000</v>
      </c>
      <c r="U22" s="6"/>
      <c r="W22" s="131">
        <v>0.39074873956795486</v>
      </c>
    </row>
    <row r="23" spans="1:23">
      <c r="A23" s="6">
        <v>525000</v>
      </c>
      <c r="B23" s="6"/>
      <c r="D23" s="131">
        <v>8.6163731080470998E-2</v>
      </c>
      <c r="F23" s="6">
        <v>525000</v>
      </c>
      <c r="I23" s="7">
        <v>5.880799451784121E-2</v>
      </c>
      <c r="L23" s="4"/>
      <c r="M23" s="7">
        <f t="shared" si="0"/>
        <v>9.7619047619047619E-2</v>
      </c>
      <c r="O23" s="120">
        <v>525000</v>
      </c>
      <c r="Q23" s="11"/>
      <c r="R23" s="9">
        <v>2.9735776569468197E-2</v>
      </c>
      <c r="S23" s="8">
        <f t="shared" si="1"/>
        <v>0.3451078104045544</v>
      </c>
      <c r="T23" s="6">
        <v>525000</v>
      </c>
      <c r="U23" s="6"/>
      <c r="W23" s="131">
        <v>0.38602382792728562</v>
      </c>
    </row>
    <row r="24" spans="1:23">
      <c r="A24" s="6">
        <v>550000</v>
      </c>
      <c r="B24" s="6"/>
      <c r="D24" s="131">
        <v>8.5725992081561217E-2</v>
      </c>
      <c r="F24" s="6">
        <v>550000</v>
      </c>
      <c r="I24" s="7">
        <v>5.8424845367663465E-2</v>
      </c>
      <c r="L24" s="4"/>
      <c r="M24" s="7">
        <f t="shared" si="0"/>
        <v>9.5454545454545459E-2</v>
      </c>
      <c r="O24" s="120">
        <v>550000</v>
      </c>
      <c r="Q24" s="11"/>
      <c r="R24" s="9">
        <v>2.9406186358935237E-2</v>
      </c>
      <c r="S24" s="8">
        <f t="shared" si="1"/>
        <v>0.34302532574901756</v>
      </c>
      <c r="T24" s="6">
        <v>550000</v>
      </c>
      <c r="U24" s="6"/>
      <c r="W24" s="131">
        <v>0.38160869560644439</v>
      </c>
    </row>
    <row r="25" spans="1:23">
      <c r="A25" s="6">
        <v>575000</v>
      </c>
      <c r="B25" s="6"/>
      <c r="D25" s="131">
        <v>7.9577831399508608E-2</v>
      </c>
      <c r="F25" s="6">
        <v>575000</v>
      </c>
      <c r="I25" s="7">
        <v>5.5112279493407919E-2</v>
      </c>
      <c r="L25" s="4"/>
      <c r="M25" s="7">
        <f t="shared" si="0"/>
        <v>9.3478260869565219E-2</v>
      </c>
      <c r="O25" s="120">
        <v>575000</v>
      </c>
      <c r="Q25" s="11"/>
      <c r="R25" s="9">
        <v>2.9096928186709125E-2</v>
      </c>
      <c r="S25" s="8">
        <f t="shared" si="1"/>
        <v>0.36564112988493425</v>
      </c>
      <c r="T25" s="6">
        <v>575000</v>
      </c>
      <c r="U25" s="6"/>
      <c r="W25" s="131">
        <v>0.37765948825889045</v>
      </c>
    </row>
    <row r="26" spans="1:23">
      <c r="A26" s="6">
        <v>600000</v>
      </c>
      <c r="B26" s="6"/>
      <c r="D26" s="131">
        <v>7.8768702760362422E-2</v>
      </c>
      <c r="F26" s="6">
        <v>600000</v>
      </c>
      <c r="I26" s="7">
        <v>5.4555692216381908E-2</v>
      </c>
      <c r="L26" s="4"/>
      <c r="M26" s="7">
        <f t="shared" si="0"/>
        <v>9.166666666666666E-2</v>
      </c>
      <c r="O26" s="120">
        <v>600000</v>
      </c>
      <c r="Q26" s="11"/>
      <c r="R26" s="9">
        <v>2.8805942454686994E-2</v>
      </c>
      <c r="S26" s="8">
        <f t="shared" si="1"/>
        <v>0.36570289271264439</v>
      </c>
      <c r="T26" s="6">
        <v>600000</v>
      </c>
      <c r="U26" s="6"/>
      <c r="W26" s="131">
        <v>0.37370096212030202</v>
      </c>
    </row>
    <row r="27" spans="1:23">
      <c r="A27" s="6">
        <v>625000</v>
      </c>
      <c r="B27" s="6"/>
      <c r="D27" s="131">
        <v>7.7997856092138815E-2</v>
      </c>
      <c r="F27" s="6">
        <v>625000</v>
      </c>
      <c r="I27" s="7">
        <v>5.402695679181458E-2</v>
      </c>
      <c r="L27" s="4"/>
      <c r="M27" s="7">
        <f t="shared" si="0"/>
        <v>0.09</v>
      </c>
      <c r="O27" s="120">
        <v>625000</v>
      </c>
      <c r="Q27" s="11"/>
      <c r="R27" s="9">
        <v>2.8531453182284762E-2</v>
      </c>
      <c r="S27" s="8">
        <f t="shared" si="1"/>
        <v>0.36579791563220115</v>
      </c>
      <c r="T27" s="6">
        <v>625000</v>
      </c>
      <c r="U27" s="6"/>
      <c r="W27" s="131">
        <v>0.36991533972404728</v>
      </c>
    </row>
    <row r="28" spans="1:23">
      <c r="A28" s="6">
        <v>650000</v>
      </c>
      <c r="B28" s="6"/>
      <c r="D28" s="131">
        <v>7.7265808695506533E-2</v>
      </c>
      <c r="F28" s="6">
        <v>650000</v>
      </c>
      <c r="I28" s="7">
        <v>5.3525462910286967E-2</v>
      </c>
      <c r="L28" s="4"/>
      <c r="M28" s="7">
        <f t="shared" si="0"/>
        <v>8.8461538461538466E-2</v>
      </c>
      <c r="O28" s="120">
        <v>650000</v>
      </c>
      <c r="Q28" s="11"/>
      <c r="R28" s="9">
        <v>2.8271919427560688E-2</v>
      </c>
      <c r="S28" s="8">
        <f t="shared" si="1"/>
        <v>0.36590465957557328</v>
      </c>
      <c r="T28" s="6">
        <v>650000</v>
      </c>
      <c r="U28" s="6"/>
      <c r="W28" s="131">
        <v>0.36631643568623251</v>
      </c>
    </row>
    <row r="29" spans="1:23">
      <c r="A29" s="6">
        <v>675000</v>
      </c>
      <c r="B29" s="6"/>
      <c r="D29" s="131">
        <v>7.6570493467407269E-2</v>
      </c>
      <c r="F29" s="6">
        <v>675000</v>
      </c>
      <c r="I29" s="7">
        <v>5.3049453205905921E-2</v>
      </c>
      <c r="L29" s="4"/>
      <c r="M29" s="7">
        <f t="shared" si="0"/>
        <v>8.7037037037037038E-2</v>
      </c>
      <c r="O29" s="120">
        <v>675000</v>
      </c>
      <c r="Q29" s="11"/>
      <c r="R29" s="9">
        <v>2.8025996538211303E-2</v>
      </c>
      <c r="S29" s="8">
        <f t="shared" si="1"/>
        <v>0.36601561866831578</v>
      </c>
      <c r="T29" s="6">
        <v>675000</v>
      </c>
      <c r="U29" s="6"/>
      <c r="W29" s="131">
        <v>0.36289768792790944</v>
      </c>
    </row>
    <row r="30" spans="1:23">
      <c r="A30" s="6">
        <v>700000</v>
      </c>
      <c r="B30" s="6"/>
      <c r="D30" s="131">
        <v>7.5909400228933485E-2</v>
      </c>
      <c r="F30" s="6">
        <v>700000</v>
      </c>
      <c r="I30" s="7">
        <v>5.259704712691108E-2</v>
      </c>
      <c r="L30" s="4"/>
      <c r="M30" s="7">
        <f t="shared" si="0"/>
        <v>8.5714285714285715E-2</v>
      </c>
      <c r="O30" s="120">
        <v>700000</v>
      </c>
      <c r="Q30" s="11"/>
      <c r="R30" s="9">
        <v>2.779250496003265E-2</v>
      </c>
      <c r="S30" s="8">
        <f t="shared" si="1"/>
        <v>0.36612731593470438</v>
      </c>
      <c r="T30" s="6">
        <v>700000</v>
      </c>
      <c r="U30" s="6"/>
      <c r="W30" s="131">
        <v>0.35964820986259666</v>
      </c>
    </row>
    <row r="31" spans="1:23">
      <c r="A31" s="6">
        <v>725000</v>
      </c>
      <c r="B31" s="6"/>
      <c r="D31" s="131">
        <v>7.5280035923007374E-2</v>
      </c>
      <c r="F31" s="6">
        <v>725000</v>
      </c>
      <c r="I31" s="7">
        <v>5.2166450580380601E-2</v>
      </c>
      <c r="L31" s="4"/>
      <c r="M31" s="7">
        <f t="shared" si="0"/>
        <v>8.4482758620689657E-2</v>
      </c>
      <c r="O31" s="120">
        <v>725000</v>
      </c>
      <c r="Q31" s="11"/>
      <c r="R31" s="9">
        <v>2.7570404916700257E-2</v>
      </c>
      <c r="S31" s="8">
        <f t="shared" si="1"/>
        <v>0.36623793517975839</v>
      </c>
      <c r="T31" s="6">
        <v>725000</v>
      </c>
      <c r="U31" s="6"/>
      <c r="W31" s="131">
        <v>0.35655635482834458</v>
      </c>
    </row>
    <row r="32" spans="1:23">
      <c r="A32" s="6">
        <v>750000</v>
      </c>
      <c r="B32" s="6"/>
      <c r="D32" s="131">
        <v>7.4680056973429262E-2</v>
      </c>
      <c r="F32" s="6">
        <v>750000</v>
      </c>
      <c r="I32" s="7">
        <v>5.1756008725485393E-2</v>
      </c>
      <c r="L32" s="4"/>
      <c r="M32" s="7">
        <f t="shared" si="0"/>
        <v>8.3333333333333329E-2</v>
      </c>
      <c r="O32" s="120">
        <v>750000</v>
      </c>
      <c r="Q32" s="11"/>
      <c r="R32" s="9">
        <v>2.7358775695070298E-2</v>
      </c>
      <c r="S32" s="8">
        <f t="shared" si="1"/>
        <v>0.36634647593807268</v>
      </c>
      <c r="T32" s="6">
        <v>750000</v>
      </c>
      <c r="U32" s="6"/>
      <c r="W32" s="131">
        <v>0.35361082449801001</v>
      </c>
    </row>
    <row r="33" spans="1:23">
      <c r="A33" s="6">
        <v>775000</v>
      </c>
      <c r="B33" s="6"/>
      <c r="D33" s="131">
        <v>7.4107305390557418E-2</v>
      </c>
      <c r="F33" s="6">
        <v>775000</v>
      </c>
      <c r="I33" s="7">
        <v>5.1364213995127084E-2</v>
      </c>
      <c r="L33" s="4"/>
      <c r="M33" s="7">
        <f t="shared" si="0"/>
        <v>8.2258064516129034E-2</v>
      </c>
      <c r="O33" s="120">
        <v>775000</v>
      </c>
      <c r="Q33" s="11"/>
      <c r="R33" s="9">
        <v>2.7156798575470036E-2</v>
      </c>
      <c r="S33" s="8">
        <f t="shared" si="1"/>
        <v>0.36645238188528567</v>
      </c>
      <c r="T33" s="6">
        <v>775000</v>
      </c>
      <c r="U33" s="6"/>
      <c r="W33" s="131">
        <v>0.3508010423330401</v>
      </c>
    </row>
    <row r="34" spans="1:23">
      <c r="A34" s="6">
        <v>800000</v>
      </c>
      <c r="B34" s="6"/>
      <c r="D34" s="131">
        <v>7.3559811120792767E-2</v>
      </c>
      <c r="F34" s="6">
        <v>800000</v>
      </c>
      <c r="I34" s="7">
        <v>5.0989699326477303E-2</v>
      </c>
      <c r="L34" s="4"/>
      <c r="M34" s="7">
        <f t="shared" si="0"/>
        <v>8.1250000000000003E-2</v>
      </c>
      <c r="O34" s="120">
        <v>800000</v>
      </c>
      <c r="Q34" s="11"/>
      <c r="R34" s="9">
        <v>2.6963742670777821E-2</v>
      </c>
      <c r="S34" s="8">
        <f t="shared" si="1"/>
        <v>0.3665553548866593</v>
      </c>
      <c r="T34" s="6">
        <v>800000</v>
      </c>
      <c r="U34" s="6"/>
      <c r="W34" s="131">
        <v>0.34811725935842891</v>
      </c>
    </row>
    <row r="35" spans="1:23">
      <c r="A35" s="6">
        <v>825000</v>
      </c>
      <c r="B35" s="6"/>
      <c r="D35" s="131">
        <v>7.3035781855290527E-2</v>
      </c>
      <c r="F35" s="6">
        <v>825000</v>
      </c>
      <c r="I35" s="7">
        <v>5.0631226599319949E-2</v>
      </c>
      <c r="L35" s="4"/>
      <c r="M35" s="7">
        <f t="shared" si="0"/>
        <v>8.0303030303030307E-2</v>
      </c>
      <c r="O35" s="120">
        <v>825000</v>
      </c>
      <c r="Q35" s="11"/>
      <c r="R35" s="9">
        <v>2.6778953104769097E-2</v>
      </c>
      <c r="S35" s="8">
        <f t="shared" si="1"/>
        <v>0.36665525341848992</v>
      </c>
      <c r="T35" s="6">
        <v>825000</v>
      </c>
      <c r="U35" s="6"/>
      <c r="W35" s="131">
        <v>0.345550552785376</v>
      </c>
    </row>
    <row r="36" spans="1:23">
      <c r="A36" s="6">
        <v>850000</v>
      </c>
      <c r="B36" s="6"/>
      <c r="D36" s="131">
        <v>7.249205365068502E-2</v>
      </c>
      <c r="F36" s="6">
        <v>850000</v>
      </c>
      <c r="I36" s="7">
        <v>5.0258785378424729E-2</v>
      </c>
      <c r="L36" s="4"/>
      <c r="M36" s="7">
        <f t="shared" si="0"/>
        <v>7.9411764705882348E-2</v>
      </c>
      <c r="O36" s="120">
        <v>850000</v>
      </c>
      <c r="Q36" s="11"/>
      <c r="R36" s="9">
        <v>2.6588892254928206E-2</v>
      </c>
      <c r="S36" s="8">
        <f t="shared" si="1"/>
        <v>0.36678354269077812</v>
      </c>
      <c r="T36" s="6">
        <v>850000</v>
      </c>
      <c r="U36" s="6"/>
      <c r="W36" s="131">
        <v>0.3428499762751786</v>
      </c>
    </row>
    <row r="37" spans="1:23">
      <c r="A37" s="6">
        <v>875000</v>
      </c>
      <c r="B37" s="6"/>
      <c r="D37" s="131">
        <v>7.1950005514154008E-2</v>
      </c>
      <c r="F37" s="6">
        <v>875000</v>
      </c>
      <c r="I37" s="7">
        <v>4.9887257989081495E-2</v>
      </c>
      <c r="L37" s="4"/>
      <c r="M37" s="7">
        <f t="shared" si="0"/>
        <v>7.857142857142857E-2</v>
      </c>
      <c r="O37" s="120">
        <v>875000</v>
      </c>
      <c r="Q37" s="11"/>
      <c r="R37" s="9">
        <v>2.640015590550612E-2</v>
      </c>
      <c r="S37" s="8">
        <f t="shared" si="1"/>
        <v>0.36692361198377782</v>
      </c>
      <c r="T37" s="6">
        <v>875000</v>
      </c>
      <c r="U37" s="6"/>
      <c r="W37" s="131">
        <v>0.34014174489089949</v>
      </c>
    </row>
    <row r="38" spans="1:23">
      <c r="A38" s="6">
        <v>900000</v>
      </c>
      <c r="B38" s="6"/>
      <c r="D38" s="131">
        <v>7.142932510693506E-2</v>
      </c>
      <c r="F38" s="6">
        <v>900000</v>
      </c>
      <c r="I38" s="7">
        <v>4.9530350860451766E-2</v>
      </c>
      <c r="L38" s="4"/>
      <c r="M38" s="7">
        <f t="shared" si="0"/>
        <v>7.7777777777777779E-2</v>
      </c>
      <c r="O38" s="120">
        <v>900000</v>
      </c>
      <c r="Q38" s="11"/>
      <c r="R38" s="9">
        <v>2.6218821692625283E-2</v>
      </c>
      <c r="S38" s="8">
        <f t="shared" si="1"/>
        <v>0.3670596306681288</v>
      </c>
      <c r="T38" s="6">
        <v>900000</v>
      </c>
      <c r="U38" s="6"/>
      <c r="W38" s="131">
        <v>0.33754206423078698</v>
      </c>
    </row>
    <row r="39" spans="1:23">
      <c r="A39" s="6">
        <v>925000</v>
      </c>
      <c r="B39" s="6"/>
      <c r="D39" s="131">
        <v>7.0928628868927784E-2</v>
      </c>
      <c r="F39" s="6">
        <v>925000</v>
      </c>
      <c r="I39" s="7">
        <v>4.9187114768619256E-2</v>
      </c>
      <c r="L39" s="4"/>
      <c r="M39" s="7">
        <f t="shared" si="0"/>
        <v>7.7027027027027031E-2</v>
      </c>
      <c r="O39" s="120">
        <v>925000</v>
      </c>
      <c r="Q39" s="11"/>
      <c r="R39" s="9">
        <v>2.6044405489654913E-2</v>
      </c>
      <c r="S39" s="8">
        <f t="shared" si="1"/>
        <v>0.36719172363790575</v>
      </c>
      <c r="T39" s="6">
        <v>925000</v>
      </c>
      <c r="U39" s="6"/>
      <c r="W39" s="131">
        <v>0.33504385663794689</v>
      </c>
    </row>
    <row r="40" spans="1:23">
      <c r="A40" s="6">
        <v>950000</v>
      </c>
      <c r="B40" s="6"/>
      <c r="D40" s="131">
        <v>7.0446653939815321E-2</v>
      </c>
      <c r="F40" s="6">
        <v>950000</v>
      </c>
      <c r="I40" s="7">
        <v>4.885668410152888E-2</v>
      </c>
      <c r="L40" s="4"/>
      <c r="M40" s="7">
        <f t="shared" si="0"/>
        <v>7.6315789473684212E-2</v>
      </c>
      <c r="O40" s="120">
        <v>950000</v>
      </c>
      <c r="Q40" s="11"/>
      <c r="R40" s="9">
        <v>2.5876466838337227E-2</v>
      </c>
      <c r="S40" s="8">
        <f t="shared" si="1"/>
        <v>0.36732002715763146</v>
      </c>
      <c r="T40" s="6">
        <v>950000</v>
      </c>
      <c r="U40" s="6"/>
      <c r="W40" s="131">
        <v>0.33264065885791561</v>
      </c>
    </row>
    <row r="41" spans="1:23">
      <c r="A41" s="6">
        <v>975000</v>
      </c>
      <c r="B41" s="6"/>
      <c r="D41" s="131">
        <v>6.9982245457810788E-2</v>
      </c>
      <c r="F41" s="6">
        <v>975000</v>
      </c>
      <c r="I41" s="7">
        <v>4.853826785062524E-2</v>
      </c>
      <c r="L41" s="4"/>
      <c r="M41" s="7">
        <f t="shared" si="0"/>
        <v>7.5641025641025636E-2</v>
      </c>
      <c r="O41" s="120">
        <v>975000</v>
      </c>
      <c r="Q41" s="11"/>
      <c r="R41" s="9">
        <v>2.5714603982957187E-2</v>
      </c>
      <c r="S41" s="8">
        <f t="shared" si="1"/>
        <v>0.3674446827868561</v>
      </c>
      <c r="T41" s="6">
        <v>975000</v>
      </c>
      <c r="U41" s="6"/>
      <c r="W41" s="131">
        <v>0.33032655911563497</v>
      </c>
    </row>
    <row r="42" spans="1:23">
      <c r="A42" s="6">
        <v>1000000</v>
      </c>
      <c r="B42" s="6"/>
      <c r="D42" s="131">
        <v>6.9534345309409704E-2</v>
      </c>
      <c r="F42" s="6">
        <v>1000000</v>
      </c>
      <c r="I42" s="7">
        <v>4.823114169318149E-2</v>
      </c>
      <c r="L42" s="4"/>
      <c r="M42" s="7">
        <f t="shared" si="0"/>
        <v>7.5000000000000011E-2</v>
      </c>
      <c r="O42" s="120">
        <v>1000000</v>
      </c>
      <c r="Q42" s="11"/>
      <c r="R42" s="9">
        <v>2.5558449580112833E-2</v>
      </c>
      <c r="S42" s="8">
        <f t="shared" si="1"/>
        <v>0.36756583335018683</v>
      </c>
      <c r="T42" s="6">
        <v>1000000</v>
      </c>
      <c r="U42" s="6"/>
      <c r="W42" s="131">
        <v>0.32809614078061689</v>
      </c>
    </row>
    <row r="43" spans="1:23">
      <c r="A43" s="6">
        <v>1025000</v>
      </c>
      <c r="B43" s="6"/>
      <c r="D43" s="131">
        <v>6.7035506397444114E-2</v>
      </c>
      <c r="F43" s="6">
        <v>1025000</v>
      </c>
      <c r="I43" s="7">
        <v>4.6869733329101666E-2</v>
      </c>
      <c r="L43" s="4"/>
      <c r="M43" s="7">
        <f t="shared" si="0"/>
        <v>7.3780487804878059E-2</v>
      </c>
      <c r="O43" s="120">
        <v>1025000</v>
      </c>
      <c r="Q43" s="11"/>
      <c r="R43" s="9">
        <v>2.5407666977823297E-2</v>
      </c>
      <c r="S43" s="8">
        <f t="shared" si="1"/>
        <v>0.37901805092938068</v>
      </c>
      <c r="T43" s="6">
        <v>1025000</v>
      </c>
      <c r="U43" s="6"/>
      <c r="W43" s="131">
        <v>0.325944432188985</v>
      </c>
    </row>
    <row r="44" spans="1:23">
      <c r="A44" s="6">
        <v>1050000</v>
      </c>
      <c r="B44" s="6"/>
      <c r="D44" s="131">
        <v>6.5712098099532906E-2</v>
      </c>
      <c r="F44" s="6">
        <v>1050000</v>
      </c>
      <c r="I44" s="7">
        <v>4.611653182901998E-2</v>
      </c>
      <c r="L44" s="4"/>
      <c r="M44" s="7">
        <f t="shared" si="0"/>
        <v>7.2619047619047611E-2</v>
      </c>
      <c r="O44" s="120">
        <v>1050000</v>
      </c>
      <c r="Q44" s="11"/>
      <c r="R44" s="9">
        <v>2.5261946976573881E-2</v>
      </c>
      <c r="S44" s="8">
        <f t="shared" si="1"/>
        <v>0.38443372997024194</v>
      </c>
      <c r="T44" s="6">
        <v>1050000</v>
      </c>
      <c r="U44" s="6"/>
      <c r="W44" s="131">
        <v>0.32386686206492515</v>
      </c>
    </row>
    <row r="45" spans="1:23">
      <c r="A45" s="6">
        <v>1075000</v>
      </c>
      <c r="B45" s="6"/>
      <c r="D45" s="131">
        <v>6.4455863652712622E-2</v>
      </c>
      <c r="F45" s="6">
        <v>1075000</v>
      </c>
      <c r="I45" s="7">
        <v>4.5400283332468851E-2</v>
      </c>
      <c r="L45" s="4"/>
      <c r="M45" s="7">
        <f t="shared" si="0"/>
        <v>7.1511627906976738E-2</v>
      </c>
      <c r="O45" s="120">
        <v>1075000</v>
      </c>
      <c r="Q45" s="11"/>
      <c r="R45" s="9">
        <v>2.5121005000048227E-2</v>
      </c>
      <c r="S45" s="8">
        <f t="shared" si="1"/>
        <v>0.38973963851295024</v>
      </c>
      <c r="T45" s="6">
        <v>1075000</v>
      </c>
      <c r="U45" s="6"/>
      <c r="W45" s="131">
        <v>0.32185921995658057</v>
      </c>
    </row>
    <row r="46" spans="1:23">
      <c r="A46" s="6">
        <v>1100000</v>
      </c>
      <c r="B46" s="6"/>
      <c r="D46" s="131">
        <v>6.3261862129715379E-2</v>
      </c>
      <c r="F46" s="6">
        <v>1100000</v>
      </c>
      <c r="I46" s="7">
        <v>4.4718314230621357E-2</v>
      </c>
      <c r="L46" s="4"/>
      <c r="M46" s="7">
        <f t="shared" si="0"/>
        <v>7.045454545454545E-2</v>
      </c>
      <c r="O46" s="120">
        <v>1100000</v>
      </c>
      <c r="Q46" s="11"/>
      <c r="R46" s="9">
        <v>2.4984578615535193E-2</v>
      </c>
      <c r="S46" s="8">
        <f t="shared" si="1"/>
        <v>0.39493903237159739</v>
      </c>
      <c r="T46" s="6">
        <v>1100000</v>
      </c>
      <c r="U46" s="6"/>
      <c r="W46" s="131">
        <v>0.31991762112238775</v>
      </c>
    </row>
    <row r="47" spans="1:23">
      <c r="A47" s="6">
        <v>1125000</v>
      </c>
      <c r="B47" s="6"/>
      <c r="D47" s="131">
        <v>6.2145267865031481E-2</v>
      </c>
      <c r="F47" s="6">
        <v>1125000</v>
      </c>
      <c r="I47" s="7">
        <v>4.4077755728813013E-2</v>
      </c>
      <c r="L47" s="4"/>
      <c r="M47" s="7">
        <f t="shared" si="0"/>
        <v>6.9444444444444448E-2</v>
      </c>
      <c r="O47" s="120">
        <v>1125000</v>
      </c>
      <c r="Q47" s="11"/>
      <c r="R47" s="9">
        <v>2.4852425353934917E-2</v>
      </c>
      <c r="S47" s="8">
        <f t="shared" si="1"/>
        <v>0.39990857240988942</v>
      </c>
      <c r="T47" s="6">
        <v>1125000</v>
      </c>
      <c r="U47" s="6"/>
      <c r="W47" s="131">
        <v>0.31820497766255673</v>
      </c>
    </row>
    <row r="48" spans="1:23">
      <c r="A48" s="6">
        <v>1150000</v>
      </c>
      <c r="B48" s="6"/>
      <c r="D48" s="131">
        <v>6.1076868561022478E-2</v>
      </c>
      <c r="F48" s="6">
        <v>1150000</v>
      </c>
      <c r="I48" s="7">
        <v>4.3464175327765676E-2</v>
      </c>
      <c r="L48" s="4"/>
      <c r="M48" s="7">
        <f t="shared" si="0"/>
        <v>6.8478260869565211E-2</v>
      </c>
      <c r="O48" s="120">
        <v>1150000</v>
      </c>
      <c r="Q48" s="11"/>
      <c r="R48" s="9">
        <v>2.4724320787399254E-2</v>
      </c>
      <c r="S48" s="8">
        <f t="shared" si="1"/>
        <v>0.40480662106468263</v>
      </c>
      <c r="T48" s="6">
        <v>1150000</v>
      </c>
      <c r="U48" s="6"/>
      <c r="W48" s="131">
        <v>0.31651066711712023</v>
      </c>
    </row>
    <row r="49" spans="1:23">
      <c r="A49" s="6">
        <v>1175000</v>
      </c>
      <c r="B49" s="6"/>
      <c r="D49" s="131">
        <v>6.0053303286668587E-2</v>
      </c>
      <c r="F49" s="6">
        <v>1175000</v>
      </c>
      <c r="I49" s="7">
        <v>4.28757300972935E-2</v>
      </c>
      <c r="L49" s="4"/>
      <c r="M49" s="7">
        <f t="shared" si="0"/>
        <v>6.7553191489361702E-2</v>
      </c>
      <c r="O49" s="120">
        <v>1175000</v>
      </c>
      <c r="Q49" s="11"/>
      <c r="R49" s="9">
        <v>2.4600056829292533E-2</v>
      </c>
      <c r="S49" s="8">
        <f t="shared" si="1"/>
        <v>0.40963703048710681</v>
      </c>
      <c r="T49" s="6">
        <v>1175000</v>
      </c>
      <c r="U49" s="6"/>
      <c r="W49" s="131">
        <v>0.31483162402522552</v>
      </c>
    </row>
    <row r="50" spans="1:23">
      <c r="A50" s="6">
        <v>1200000</v>
      </c>
      <c r="B50" s="6"/>
      <c r="D50" s="131">
        <v>5.9073922046053932E-2</v>
      </c>
      <c r="F50" s="6">
        <v>1200000</v>
      </c>
      <c r="I50" s="7">
        <v>4.2311912034673771E-2</v>
      </c>
      <c r="L50" s="4"/>
      <c r="M50" s="7">
        <f t="shared" si="0"/>
        <v>6.6666666666666666E-2</v>
      </c>
      <c r="O50" s="120">
        <v>1200000</v>
      </c>
      <c r="Q50" s="11"/>
      <c r="R50" s="9">
        <v>2.4479440226638314E-2</v>
      </c>
      <c r="S50" s="8">
        <f t="shared" si="1"/>
        <v>0.41438657496880238</v>
      </c>
      <c r="T50" s="6">
        <v>1200000</v>
      </c>
      <c r="U50" s="6"/>
      <c r="W50" s="131">
        <v>0.31318668696954538</v>
      </c>
    </row>
    <row r="51" spans="1:23">
      <c r="A51" s="6">
        <v>1225000</v>
      </c>
      <c r="B51" s="6"/>
      <c r="D51" s="131">
        <v>5.8136576060157222E-2</v>
      </c>
      <c r="F51" s="6">
        <v>1225000</v>
      </c>
      <c r="I51" s="7">
        <v>4.1771499301018214E-2</v>
      </c>
      <c r="L51" s="4"/>
      <c r="M51" s="7">
        <f t="shared" si="0"/>
        <v>6.5816326530612243E-2</v>
      </c>
      <c r="O51" s="120">
        <v>1225000</v>
      </c>
      <c r="Q51" s="11"/>
      <c r="R51" s="9">
        <v>2.4362291219752058E-2</v>
      </c>
      <c r="S51" s="8">
        <f t="shared" si="1"/>
        <v>0.41905273531318754</v>
      </c>
      <c r="T51" s="6">
        <v>1225000</v>
      </c>
      <c r="U51" s="6"/>
      <c r="W51" s="131">
        <v>0.31158036346645496</v>
      </c>
    </row>
    <row r="52" spans="1:23">
      <c r="A52" s="6">
        <v>1250000</v>
      </c>
      <c r="B52" s="6"/>
      <c r="D52" s="131">
        <v>5.723891928354672E-2</v>
      </c>
      <c r="F52" s="6">
        <v>1250000</v>
      </c>
      <c r="I52" s="7">
        <v>4.1253187663463288E-2</v>
      </c>
      <c r="L52" s="4"/>
      <c r="M52" s="7">
        <f t="shared" si="0"/>
        <v>6.5000000000000002E-2</v>
      </c>
      <c r="O52" s="120">
        <v>1250000</v>
      </c>
      <c r="Q52" s="11"/>
      <c r="R52" s="9">
        <v>2.4248442347527193E-2</v>
      </c>
      <c r="S52" s="8">
        <f t="shared" si="1"/>
        <v>0.42363557263208823</v>
      </c>
      <c r="T52" s="6">
        <v>1250000</v>
      </c>
      <c r="U52" s="6"/>
      <c r="W52" s="131">
        <v>0.31001370229736391</v>
      </c>
    </row>
    <row r="53" spans="1:23">
      <c r="A53" s="6">
        <v>1275000</v>
      </c>
      <c r="B53" s="6"/>
      <c r="D53" s="131">
        <v>5.637865314352173E-2</v>
      </c>
      <c r="F53" s="6">
        <v>1275000</v>
      </c>
      <c r="I53" s="7">
        <v>4.0755708215314761E-2</v>
      </c>
      <c r="L53" s="4"/>
      <c r="M53" s="7">
        <f t="shared" si="0"/>
        <v>6.4215686274509798E-2</v>
      </c>
      <c r="O53" s="120">
        <v>1275000</v>
      </c>
      <c r="Q53" s="11"/>
      <c r="R53" s="9">
        <v>2.413773737998565E-2</v>
      </c>
      <c r="S53" s="8">
        <f t="shared" si="1"/>
        <v>0.42813611241366151</v>
      </c>
      <c r="T53" s="6">
        <v>1275000</v>
      </c>
      <c r="U53" s="6"/>
      <c r="W53" s="131">
        <v>0.30848646460507739</v>
      </c>
    </row>
    <row r="54" spans="1:23">
      <c r="A54" s="6">
        <v>1300000</v>
      </c>
      <c r="B54" s="6"/>
      <c r="D54" s="131">
        <v>5.5553595242325872E-2</v>
      </c>
      <c r="F54" s="6">
        <v>1300000</v>
      </c>
      <c r="I54" s="7">
        <v>4.0277859639295165E-2</v>
      </c>
      <c r="L54" s="4"/>
      <c r="M54" s="7">
        <f t="shared" si="0"/>
        <v>6.3461538461538458E-2</v>
      </c>
      <c r="O54" s="120">
        <v>1300000</v>
      </c>
      <c r="Q54" s="11"/>
      <c r="R54" s="9">
        <v>2.4030030362336148E-2</v>
      </c>
      <c r="S54" s="8">
        <f t="shared" si="1"/>
        <v>0.43255580952981865</v>
      </c>
      <c r="T54" s="6">
        <v>1300000</v>
      </c>
      <c r="U54" s="6"/>
      <c r="W54" s="131">
        <v>0.30699784282622983</v>
      </c>
    </row>
    <row r="55" spans="1:23">
      <c r="A55" s="6">
        <v>1325000</v>
      </c>
      <c r="B55" s="6"/>
      <c r="D55" s="131">
        <v>5.4761698563238662E-2</v>
      </c>
      <c r="F55" s="6">
        <v>1325000</v>
      </c>
      <c r="I55" s="7">
        <v>3.9818516529180774E-2</v>
      </c>
      <c r="L55" s="4"/>
      <c r="M55" s="7">
        <f t="shared" si="0"/>
        <v>6.2735849056603774E-2</v>
      </c>
      <c r="O55" s="120">
        <v>1325000</v>
      </c>
      <c r="Q55" s="11"/>
      <c r="R55" s="9">
        <v>2.3925184756996776E-2</v>
      </c>
      <c r="S55" s="8">
        <f t="shared" si="1"/>
        <v>0.43689632324621996</v>
      </c>
      <c r="T55" s="6">
        <v>1325000</v>
      </c>
      <c r="U55" s="6"/>
      <c r="W55" s="131">
        <v>0.30554676162824401</v>
      </c>
    </row>
    <row r="56" spans="1:23">
      <c r="A56" s="6">
        <v>1350000</v>
      </c>
      <c r="B56" s="6"/>
      <c r="D56" s="131">
        <v>5.4001053222805261E-2</v>
      </c>
      <c r="F56" s="6">
        <v>1350000</v>
      </c>
      <c r="I56" s="7">
        <v>3.9376629335053932E-2</v>
      </c>
      <c r="L56" s="4"/>
      <c r="M56" s="7">
        <f t="shared" si="0"/>
        <v>6.2037037037037036E-2</v>
      </c>
      <c r="O56" s="120">
        <v>1350000</v>
      </c>
      <c r="R56" s="9">
        <v>2.3823072671904637E-2</v>
      </c>
      <c r="S56" s="8">
        <f t="shared" si="1"/>
        <v>0.44115940801398817</v>
      </c>
      <c r="T56" s="6">
        <v>1350000</v>
      </c>
      <c r="U56" s="6"/>
      <c r="W56" s="131">
        <v>0.30413202242414189</v>
      </c>
    </row>
    <row r="57" spans="1:23">
      <c r="A57" s="6">
        <v>1375000</v>
      </c>
      <c r="B57" s="6"/>
      <c r="D57" s="131">
        <v>5.3269881411491735E-2</v>
      </c>
      <c r="F57" s="6">
        <v>1375000</v>
      </c>
      <c r="I57" s="7">
        <v>3.8951221093346061E-2</v>
      </c>
      <c r="L57" s="4"/>
      <c r="M57" s="7">
        <f t="shared" si="0"/>
        <v>6.1363636363636363E-2</v>
      </c>
      <c r="O57" s="120">
        <v>1375000</v>
      </c>
      <c r="R57" s="9">
        <v>2.3723574165015658E-2</v>
      </c>
      <c r="S57" s="8">
        <f t="shared" si="1"/>
        <v>0.44534685522873813</v>
      </c>
      <c r="T57" s="6">
        <v>1375000</v>
      </c>
      <c r="U57" s="6"/>
      <c r="W57" s="131">
        <v>0.30275237905753238</v>
      </c>
    </row>
    <row r="58" spans="1:23">
      <c r="A58" s="6">
        <v>1400000</v>
      </c>
      <c r="B58" s="6"/>
      <c r="D58" s="131">
        <v>5.2566529677531955E-2</v>
      </c>
      <c r="F58" s="6">
        <v>1400000</v>
      </c>
      <c r="I58" s="7">
        <v>3.8541382950064332E-2</v>
      </c>
      <c r="L58" s="4"/>
      <c r="M58" s="7">
        <f t="shared" si="0"/>
        <v>6.0714285714285714E-2</v>
      </c>
      <c r="O58" s="120">
        <v>1400000</v>
      </c>
      <c r="R58" s="9">
        <v>2.3626576616238952E-2</v>
      </c>
      <c r="S58" s="8">
        <f t="shared" si="1"/>
        <v>0.44946046012882318</v>
      </c>
      <c r="T58" s="6">
        <v>1400000</v>
      </c>
      <c r="U58" s="6"/>
      <c r="W58" s="131">
        <v>0.30140657965774975</v>
      </c>
    </row>
    <row r="59" spans="1:23">
      <c r="A59" s="6">
        <v>1425000</v>
      </c>
      <c r="B59" s="6"/>
      <c r="D59" s="131">
        <v>5.1889460347185633E-2</v>
      </c>
      <c r="F59" s="6">
        <v>1425000</v>
      </c>
      <c r="I59" s="7">
        <v>3.8146269338887748E-2</v>
      </c>
      <c r="L59" s="4"/>
      <c r="M59" s="7">
        <f t="shared" si="0"/>
        <v>6.0087719298245613E-2</v>
      </c>
      <c r="O59" s="120">
        <v>1425000</v>
      </c>
      <c r="R59" s="9">
        <v>2.3531974159193208E-2</v>
      </c>
      <c r="S59" s="8">
        <f t="shared" si="1"/>
        <v>0.45350200217431108</v>
      </c>
      <c r="T59" s="6">
        <v>1425000</v>
      </c>
      <c r="U59" s="6"/>
      <c r="W59" s="131">
        <v>0.30009339048981842</v>
      </c>
    </row>
    <row r="60" spans="1:23">
      <c r="A60" s="6">
        <v>1450000</v>
      </c>
      <c r="B60" s="6"/>
      <c r="D60" s="131">
        <v>5.1237242900007363E-2</v>
      </c>
      <c r="F60" s="6">
        <v>1450000</v>
      </c>
      <c r="I60" s="7">
        <v>3.7765093203289718E-2</v>
      </c>
      <c r="L60" s="4"/>
      <c r="M60" s="7">
        <f t="shared" si="0"/>
        <v>5.9482758620689656E-2</v>
      </c>
      <c r="O60" s="120">
        <v>1450000</v>
      </c>
      <c r="R60" s="9">
        <v>2.3439667166149061E-2</v>
      </c>
      <c r="S60" s="8">
        <f t="shared" si="1"/>
        <v>0.45747323313030358</v>
      </c>
      <c r="T60" s="6">
        <v>1450000</v>
      </c>
      <c r="U60" s="6"/>
      <c r="W60" s="131">
        <v>0.29881160964113213</v>
      </c>
    </row>
    <row r="61" spans="1:23">
      <c r="A61" s="6">
        <v>1475000</v>
      </c>
      <c r="B61" s="6"/>
      <c r="D61" s="131">
        <v>5.0608545678020485E-2</v>
      </c>
      <c r="F61" s="6">
        <v>1475000</v>
      </c>
      <c r="I61" s="7">
        <v>3.7397121439220922E-2</v>
      </c>
      <c r="L61" s="4"/>
      <c r="M61" s="7">
        <f t="shared" si="0"/>
        <v>5.8898305084745764E-2</v>
      </c>
      <c r="O61" s="120">
        <v>1475000</v>
      </c>
      <c r="R61" s="9">
        <v>2.3349561780357742E-2</v>
      </c>
      <c r="S61" s="8">
        <f t="shared" si="1"/>
        <v>0.46137586977723721</v>
      </c>
      <c r="T61" s="6">
        <v>1475000</v>
      </c>
      <c r="U61" s="6"/>
      <c r="W61" s="131">
        <v>0.29756007471508578</v>
      </c>
    </row>
    <row r="62" spans="1:23">
      <c r="A62" s="6">
        <v>1500000</v>
      </c>
      <c r="B62" s="6"/>
      <c r="D62" s="131">
        <v>5.0002128096503458E-2</v>
      </c>
      <c r="F62" s="6">
        <v>1500000</v>
      </c>
      <c r="I62" s="7">
        <v>3.7041670633209026E-2</v>
      </c>
      <c r="L62" s="4"/>
      <c r="M62" s="7">
        <f t="shared" si="0"/>
        <v>5.8333333333333334E-2</v>
      </c>
      <c r="O62" s="120">
        <v>1500000</v>
      </c>
      <c r="R62" s="9">
        <v>2.3261569490685721E-2</v>
      </c>
      <c r="S62" s="8">
        <f t="shared" si="1"/>
        <v>0.46521158951057429</v>
      </c>
      <c r="T62" s="6">
        <v>1500000</v>
      </c>
      <c r="U62" s="6"/>
      <c r="W62" s="131">
        <v>0.29633766687627366</v>
      </c>
    </row>
    <row r="63" spans="1:23">
      <c r="A63" s="6">
        <v>1525000</v>
      </c>
      <c r="B63" s="6"/>
      <c r="D63" s="131">
        <v>4.9416833418461058E-2</v>
      </c>
      <c r="F63" s="6">
        <v>1525000</v>
      </c>
      <c r="I63" s="7">
        <v>3.6698103120233423E-2</v>
      </c>
      <c r="L63" s="4"/>
      <c r="M63" s="7">
        <f t="shared" si="0"/>
        <v>5.7786885245901642E-2</v>
      </c>
      <c r="O63" s="120">
        <v>1525000</v>
      </c>
      <c r="R63" s="9">
        <v>2.3175606744094183E-2</v>
      </c>
      <c r="S63" s="8">
        <f t="shared" si="1"/>
        <v>0.4689820278010019</v>
      </c>
      <c r="T63" s="6">
        <v>1525000</v>
      </c>
      <c r="U63" s="6"/>
      <c r="W63" s="131">
        <v>0.29514331262544041</v>
      </c>
    </row>
    <row r="64" spans="1:23">
      <c r="A64" s="6">
        <v>1550000</v>
      </c>
      <c r="B64" s="6"/>
      <c r="D64" s="131">
        <v>4.8851582100992282E-2</v>
      </c>
      <c r="F64" s="6">
        <v>1550000</v>
      </c>
      <c r="I64" s="7">
        <v>3.6365823360285647E-2</v>
      </c>
      <c r="L64" s="4"/>
      <c r="M64" s="7">
        <f t="shared" si="0"/>
        <v>5.7258064516129033E-2</v>
      </c>
      <c r="O64" s="120">
        <v>1550000</v>
      </c>
      <c r="R64" s="9">
        <v>2.3091594592037332E-2</v>
      </c>
      <c r="S64" s="8">
        <f t="shared" si="1"/>
        <v>0.47268877688135902</v>
      </c>
      <c r="T64" s="6">
        <v>1550000</v>
      </c>
      <c r="U64" s="6"/>
      <c r="W64" s="131">
        <v>0.29397598414386783</v>
      </c>
    </row>
    <row r="65" spans="1:23">
      <c r="A65" s="6">
        <v>1575000</v>
      </c>
      <c r="B65" s="6"/>
      <c r="D65" s="131">
        <v>4.8305365694479754E-2</v>
      </c>
      <c r="F65" s="6">
        <v>1575000</v>
      </c>
      <c r="I65" s="7">
        <v>3.6044274619896302E-2</v>
      </c>
      <c r="L65" s="4"/>
      <c r="M65" s="7">
        <f t="shared" si="0"/>
        <v>5.6746031746031746E-2</v>
      </c>
      <c r="O65" s="120">
        <v>1575000</v>
      </c>
      <c r="R65" s="9">
        <v>2.3009458367317104E-2</v>
      </c>
      <c r="S65" s="8">
        <f t="shared" si="1"/>
        <v>0.47633338525675589</v>
      </c>
      <c r="T65" s="6">
        <v>1575000</v>
      </c>
      <c r="U65" s="6"/>
      <c r="W65" s="131">
        <v>0.29283469873373857</v>
      </c>
    </row>
    <row r="66" spans="1:23">
      <c r="A66" s="6">
        <v>1600000</v>
      </c>
      <c r="B66" s="6"/>
      <c r="D66" s="131">
        <v>4.7777241262335818E-2</v>
      </c>
      <c r="F66" s="6">
        <v>1600000</v>
      </c>
      <c r="I66" s="7">
        <v>3.5732935939044842E-2</v>
      </c>
      <c r="L66" s="4"/>
      <c r="M66" s="7">
        <f t="shared" si="0"/>
        <v>5.6250000000000001E-2</v>
      </c>
      <c r="O66" s="120">
        <v>1600000</v>
      </c>
      <c r="R66" s="9">
        <v>2.2929127388333876E-2</v>
      </c>
      <c r="S66" s="8">
        <f t="shared" si="1"/>
        <v>0.47991735777363881</v>
      </c>
      <c r="T66" s="6">
        <v>1600000</v>
      </c>
      <c r="U66" s="6"/>
      <c r="W66" s="131">
        <v>0.291718517692312</v>
      </c>
    </row>
    <row r="67" spans="1:23">
      <c r="A67" s="6">
        <v>1625000</v>
      </c>
      <c r="B67" s="6"/>
      <c r="D67" s="131">
        <v>4.7266326283479022E-2</v>
      </c>
      <c r="F67" s="6">
        <v>1625000</v>
      </c>
      <c r="I67" s="7">
        <v>3.543131936163791E-2</v>
      </c>
      <c r="L67" s="4"/>
      <c r="M67" s="7">
        <f t="shared" si="0"/>
        <v>5.5769230769230772E-2</v>
      </c>
      <c r="O67" s="120">
        <v>1625000</v>
      </c>
      <c r="R67" s="9">
        <v>2.2850534688023019E-2</v>
      </c>
      <c r="S67" s="8">
        <f t="shared" si="1"/>
        <v>0.48344215607063068</v>
      </c>
      <c r="T67" s="6">
        <v>1625000</v>
      </c>
      <c r="U67" s="6"/>
      <c r="W67" s="131">
        <v>0.29062654484053946</v>
      </c>
    </row>
    <row r="68" spans="1:23">
      <c r="A68" s="6">
        <v>1650000</v>
      </c>
      <c r="B68" s="6"/>
      <c r="D68" s="131">
        <v>4.6771793998311419E-2</v>
      </c>
      <c r="F68" s="6">
        <v>1650000</v>
      </c>
      <c r="I68" s="7">
        <v>3.5138967407470564E-2</v>
      </c>
      <c r="L68" s="4"/>
      <c r="M68" s="7">
        <f t="shared" si="0"/>
        <v>5.5303030303030305E-2</v>
      </c>
      <c r="O68" s="120">
        <v>1650000</v>
      </c>
      <c r="R68" s="9">
        <v>2.2773616765072332E-2</v>
      </c>
      <c r="S68" s="8">
        <f t="shared" si="1"/>
        <v>0.48690919928995063</v>
      </c>
      <c r="T68" s="6">
        <v>1650000</v>
      </c>
      <c r="U68" s="6"/>
      <c r="W68" s="131">
        <v>0.28955792485207321</v>
      </c>
    </row>
    <row r="69" spans="1:23">
      <c r="A69" s="6">
        <v>1675000</v>
      </c>
      <c r="B69" s="6"/>
      <c r="D69" s="131">
        <v>4.6292869159805378E-2</v>
      </c>
      <c r="F69" s="6">
        <v>1675000</v>
      </c>
      <c r="I69" s="7">
        <v>3.4855450764346471E-2</v>
      </c>
      <c r="L69" s="4"/>
      <c r="M69" s="7">
        <f t="shared" ref="M69:M80" si="2">IF(A69&lt;=500000,A69*0.1/A69,IF(A69&lt;=1000000,500000*0.1/A69+(A69-500000)*0.05/A69,500000*0.1/A69+500000*0.05/A69+(A69-1000000)*0.025/A69))</f>
        <v>5.4850746268656714E-2</v>
      </c>
      <c r="O69" s="120">
        <v>1675000</v>
      </c>
      <c r="R69" s="9">
        <v>2.2698313355282412E-2</v>
      </c>
      <c r="S69" s="8">
        <f t="shared" ref="S69:S81" si="3">R69/D69</f>
        <v>0.49031986496509128</v>
      </c>
      <c r="T69" s="6">
        <v>1675000</v>
      </c>
      <c r="U69" s="6"/>
      <c r="W69" s="131">
        <v>0.28851184148001291</v>
      </c>
    </row>
    <row r="70" spans="1:23">
      <c r="A70" s="6">
        <v>1700000</v>
      </c>
      <c r="B70" s="6"/>
      <c r="D70" s="131">
        <v>4.5828824153305837E-2</v>
      </c>
      <c r="F70" s="6">
        <v>1700000</v>
      </c>
      <c r="I70" s="7">
        <v>3.4580366180314084E-2</v>
      </c>
      <c r="L70" s="4"/>
      <c r="M70" s="7">
        <f t="shared" si="2"/>
        <v>5.4411764705882347E-2</v>
      </c>
      <c r="O70" s="120">
        <v>1700000</v>
      </c>
      <c r="R70" s="9">
        <v>2.2624567221165369E-2</v>
      </c>
      <c r="S70" s="8">
        <f t="shared" si="3"/>
        <v>0.49367549002527394</v>
      </c>
      <c r="T70" s="6">
        <v>1700000</v>
      </c>
      <c r="U70" s="6"/>
      <c r="W70" s="131">
        <v>0.28748751574651282</v>
      </c>
    </row>
    <row r="71" spans="1:23">
      <c r="A71" s="6">
        <v>1725000</v>
      </c>
      <c r="B71" s="6"/>
      <c r="D71" s="131">
        <v>4.5378975451198927E-2</v>
      </c>
      <c r="F71" s="6">
        <v>1725000</v>
      </c>
      <c r="I71" s="7">
        <v>3.4313334537481678E-2</v>
      </c>
      <c r="L71" s="4"/>
      <c r="M71" s="7">
        <f t="shared" si="2"/>
        <v>5.398550724637681E-2</v>
      </c>
      <c r="O71" s="120">
        <v>1725000</v>
      </c>
      <c r="R71" s="9">
        <v>2.2552323958082841E-2</v>
      </c>
      <c r="S71" s="8">
        <f t="shared" si="3"/>
        <v>0.49697737187424756</v>
      </c>
      <c r="T71" s="6">
        <v>1725000</v>
      </c>
      <c r="U71" s="6"/>
      <c r="W71" s="131">
        <v>0.2864842041386928</v>
      </c>
    </row>
    <row r="72" spans="1:23">
      <c r="A72" s="6">
        <v>1750000</v>
      </c>
      <c r="B72" s="6"/>
      <c r="D72" s="131">
        <v>4.4942680371337702E-2</v>
      </c>
      <c r="F72" s="6">
        <v>1750000</v>
      </c>
      <c r="I72" s="7">
        <v>3.4053999090441087E-2</v>
      </c>
      <c r="L72" s="4"/>
      <c r="M72" s="7">
        <f t="shared" si="2"/>
        <v>5.3571428571428575E-2</v>
      </c>
      <c r="O72" s="120">
        <v>1750000</v>
      </c>
      <c r="R72" s="9">
        <v>2.2481531815404496E-2</v>
      </c>
      <c r="S72" s="8">
        <f t="shared" si="3"/>
        <v>0.50022676951288703</v>
      </c>
      <c r="T72" s="6">
        <v>1750000</v>
      </c>
      <c r="U72" s="6"/>
      <c r="W72" s="131">
        <v>0.28550119683954411</v>
      </c>
    </row>
    <row r="73" spans="1:23">
      <c r="A73" s="6">
        <v>1775000</v>
      </c>
      <c r="B73" s="6"/>
      <c r="D73" s="131">
        <v>4.4519334110850607E-2</v>
      </c>
      <c r="F73" s="6">
        <v>1775000</v>
      </c>
      <c r="I73" s="7">
        <v>3.3802023853865104E-2</v>
      </c>
      <c r="L73" s="4"/>
      <c r="M73" s="7">
        <f t="shared" si="2"/>
        <v>5.3169014084507041E-2</v>
      </c>
      <c r="O73" s="120">
        <v>1775000</v>
      </c>
      <c r="R73" s="9">
        <v>2.2412141531327166E-2</v>
      </c>
      <c r="S73" s="8">
        <f t="shared" si="3"/>
        <v>0.50342490468348444</v>
      </c>
      <c r="T73" s="6">
        <v>1775000</v>
      </c>
      <c r="U73" s="6"/>
      <c r="W73" s="131">
        <v>0.28453781601236772</v>
      </c>
    </row>
    <row r="74" spans="1:23">
      <c r="A74" s="6">
        <v>1800000</v>
      </c>
      <c r="B74" s="6"/>
      <c r="D74" s="131">
        <v>4.4108367029583297E-2</v>
      </c>
      <c r="F74" s="6">
        <v>1800000</v>
      </c>
      <c r="I74" s="7">
        <v>3.3557092125299434E-2</v>
      </c>
      <c r="L74" s="4"/>
      <c r="M74" s="7">
        <f t="shared" si="2"/>
        <v>5.2777777777777778E-2</v>
      </c>
      <c r="O74" s="120">
        <v>1800000</v>
      </c>
      <c r="R74" s="9">
        <v>2.2344106180135187E-2</v>
      </c>
      <c r="S74" s="8">
        <f t="shared" si="3"/>
        <v>0.50657296301967125</v>
      </c>
      <c r="T74" s="6">
        <v>1800000</v>
      </c>
      <c r="U74" s="6"/>
      <c r="W74" s="131">
        <v>0.28359341415027589</v>
      </c>
    </row>
    <row r="75" spans="1:23">
      <c r="A75" s="6">
        <v>1825000</v>
      </c>
      <c r="B75" s="6"/>
      <c r="D75" s="131">
        <v>4.3709242159880438E-2</v>
      </c>
      <c r="F75" s="6">
        <v>1825000</v>
      </c>
      <c r="I75" s="7">
        <v>3.3318905130522415E-2</v>
      </c>
      <c r="L75" s="4"/>
      <c r="M75" s="7">
        <f t="shared" si="2"/>
        <v>5.2397260273972603E-2</v>
      </c>
      <c r="O75" s="120">
        <v>1825000</v>
      </c>
      <c r="R75" s="9">
        <v>2.2277381030806648E-2</v>
      </c>
      <c r="S75" s="8">
        <f t="shared" si="3"/>
        <v>0.50967209519030443</v>
      </c>
      <c r="T75" s="6">
        <v>1825000</v>
      </c>
      <c r="U75" s="6"/>
      <c r="W75" s="131">
        <v>0.28266737249741308</v>
      </c>
    </row>
    <row r="76" spans="1:23">
      <c r="A76" s="6">
        <v>1850000</v>
      </c>
      <c r="B76" s="6"/>
      <c r="D76" s="131">
        <v>4.3321452921679472E-2</v>
      </c>
      <c r="F76" s="6">
        <v>1850000</v>
      </c>
      <c r="I76" s="7">
        <v>3.3087180780085559E-2</v>
      </c>
      <c r="L76" s="4"/>
      <c r="M76" s="7">
        <f t="shared" si="2"/>
        <v>5.202702702702703E-2</v>
      </c>
      <c r="O76" s="120">
        <v>1850000</v>
      </c>
      <c r="R76" s="9">
        <v>2.2211923415980175E-2</v>
      </c>
      <c r="S76" s="8">
        <f t="shared" si="3"/>
        <v>0.51272341802886767</v>
      </c>
      <c r="T76" s="6">
        <v>1850000</v>
      </c>
      <c r="U76" s="6"/>
      <c r="W76" s="131">
        <v>0.28175909954517447</v>
      </c>
    </row>
    <row r="77" spans="1:23">
      <c r="A77" s="6">
        <v>1875000</v>
      </c>
      <c r="B77" s="6"/>
      <c r="D77" s="131">
        <v>4.2944521023955143E-2</v>
      </c>
      <c r="F77" s="6">
        <v>1875000</v>
      </c>
      <c r="I77" s="7">
        <v>3.2861652526775829E-2</v>
      </c>
      <c r="L77" s="4"/>
      <c r="M77" s="7">
        <f t="shared" si="2"/>
        <v>5.1666666666666666E-2</v>
      </c>
      <c r="O77" s="120">
        <v>1875000</v>
      </c>
      <c r="R77" s="9">
        <v>2.2147692610394579E-2</v>
      </c>
      <c r="S77" s="8">
        <f t="shared" si="3"/>
        <v>0.51572801564232695</v>
      </c>
      <c r="T77" s="6">
        <v>1875000</v>
      </c>
      <c r="U77" s="6"/>
      <c r="W77" s="131">
        <v>0.28086802960436114</v>
      </c>
    </row>
    <row r="78" spans="1:23">
      <c r="A78" s="6">
        <v>1900000</v>
      </c>
      <c r="B78" s="6"/>
      <c r="D78" s="131">
        <v>4.2577994535428106E-2</v>
      </c>
      <c r="F78" s="6">
        <v>1900000</v>
      </c>
      <c r="I78" s="7">
        <v>3.264206831475959E-2</v>
      </c>
      <c r="L78" s="4"/>
      <c r="M78" s="7">
        <f t="shared" si="2"/>
        <v>5.131578947368421E-2</v>
      </c>
      <c r="O78" s="120">
        <v>1900000</v>
      </c>
      <c r="R78" s="9">
        <v>2.2084649718000362E-2</v>
      </c>
      <c r="S78" s="8">
        <f t="shared" si="3"/>
        <v>0.51868694049514863</v>
      </c>
      <c r="T78" s="6">
        <v>1900000</v>
      </c>
      <c r="U78" s="6"/>
      <c r="W78" s="131">
        <v>0.27999362145260864</v>
      </c>
    </row>
    <row r="79" spans="1:23">
      <c r="A79" s="6">
        <v>1925000</v>
      </c>
      <c r="B79" s="6"/>
      <c r="D79" s="131">
        <v>4.222144610914326E-2</v>
      </c>
      <c r="F79" s="6">
        <v>1925000</v>
      </c>
      <c r="I79" s="7">
        <v>3.2428189612086641E-2</v>
      </c>
      <c r="L79" s="4"/>
      <c r="M79" s="7">
        <f t="shared" si="2"/>
        <v>5.0974025974025977E-2</v>
      </c>
      <c r="O79" s="120">
        <v>1925000</v>
      </c>
      <c r="R79" s="9">
        <v>2.2022757567019602E-2</v>
      </c>
      <c r="S79" s="8">
        <f t="shared" si="3"/>
        <v>0.52160121446551933</v>
      </c>
      <c r="T79" s="6">
        <v>1925000</v>
      </c>
      <c r="U79" s="6"/>
      <c r="W79" s="131">
        <v>0.27913535705534576</v>
      </c>
    </row>
    <row r="80" spans="1:23">
      <c r="A80" s="6">
        <v>1950000</v>
      </c>
      <c r="B80" s="6"/>
      <c r="D80" s="131">
        <v>4.1874471347044799E-2</v>
      </c>
      <c r="F80" s="6">
        <v>1950000</v>
      </c>
      <c r="I80" s="7">
        <v>3.2219790519057045E-2</v>
      </c>
      <c r="L80" s="4"/>
      <c r="M80" s="7">
        <f t="shared" si="2"/>
        <v>5.0641025641025642E-2</v>
      </c>
      <c r="O80" s="120">
        <v>1950000</v>
      </c>
      <c r="R80" s="9">
        <v>2.1961980612299255E-2</v>
      </c>
      <c r="S80" s="8">
        <f t="shared" si="3"/>
        <v>0.52447182987180985</v>
      </c>
      <c r="T80" s="6">
        <v>1950000</v>
      </c>
      <c r="U80" s="6"/>
      <c r="W80" s="131">
        <v>0.27829274035782914</v>
      </c>
    </row>
    <row r="81" spans="1:23">
      <c r="A81" s="6">
        <v>1975000</v>
      </c>
      <c r="B81" s="6"/>
      <c r="D81" s="131">
        <v>4.1536687292043482E-2</v>
      </c>
      <c r="F81" s="6">
        <v>1975000</v>
      </c>
      <c r="I81" s="7">
        <v>3.2016656945694034E-2</v>
      </c>
      <c r="L81" s="4"/>
      <c r="M81" s="7">
        <f>IF(A81&lt;=500000,A81*0.1/A81,IF(A81&lt;=1000000,500000*0.1/A81+(A81-500000)*0.05/A81,500000*0.1/A81+500000*0.05/A81+(A81-1000000)*0.025/A81))</f>
        <v>5.0316455696202536E-2</v>
      </c>
      <c r="O81" s="120">
        <v>1975000</v>
      </c>
      <c r="P81" s="11"/>
      <c r="R81" s="9">
        <v>2.190228484436493E-2</v>
      </c>
      <c r="S81" s="8">
        <f t="shared" si="3"/>
        <v>0.52729975046807354</v>
      </c>
      <c r="T81" s="6">
        <v>1975000</v>
      </c>
      <c r="U81" s="6"/>
      <c r="W81" s="131">
        <v>0.27746529614535292</v>
      </c>
    </row>
    <row r="82" spans="1:23">
      <c r="M82" s="7"/>
      <c r="O82" s="120"/>
      <c r="P82" s="11"/>
      <c r="R82" s="9"/>
    </row>
    <row r="83" spans="1:23">
      <c r="M83" s="7"/>
      <c r="O83" s="120"/>
      <c r="P83" s="11"/>
      <c r="R83" s="9"/>
    </row>
    <row r="84" spans="1:23">
      <c r="M84" s="7"/>
      <c r="O84" s="120"/>
      <c r="P84" s="11"/>
      <c r="R84" s="9"/>
    </row>
    <row r="85" spans="1:23">
      <c r="M85" s="7"/>
      <c r="O85" s="120"/>
      <c r="P85" s="11"/>
      <c r="R85" s="9"/>
    </row>
    <row r="86" spans="1:23">
      <c r="M86" s="7"/>
      <c r="O86" s="120"/>
      <c r="P86" s="11"/>
      <c r="R86" s="9"/>
    </row>
    <row r="87" spans="1:23">
      <c r="M87" s="7"/>
      <c r="O87" s="120"/>
      <c r="P87" s="11"/>
      <c r="R87" s="9"/>
    </row>
    <row r="88" spans="1:23">
      <c r="M88" s="7"/>
      <c r="O88" s="120"/>
      <c r="P88" s="11"/>
      <c r="R88" s="9"/>
    </row>
    <row r="89" spans="1:23">
      <c r="M89" s="7"/>
      <c r="O89" s="120"/>
      <c r="P89" s="11"/>
      <c r="R89" s="9"/>
    </row>
    <row r="90" spans="1:23">
      <c r="M90" s="7"/>
      <c r="O90" s="120"/>
      <c r="P90" s="11"/>
      <c r="R90" s="9"/>
    </row>
    <row r="91" spans="1:23">
      <c r="M91" s="7"/>
      <c r="O91" s="120"/>
      <c r="P91" s="11"/>
      <c r="R91" s="9"/>
    </row>
    <row r="92" spans="1:23">
      <c r="M92" s="7"/>
      <c r="O92" s="120"/>
      <c r="P92" s="11"/>
      <c r="R92" s="9"/>
    </row>
    <row r="93" spans="1:23">
      <c r="M93" s="7"/>
      <c r="O93" s="120"/>
      <c r="P93" s="11"/>
      <c r="R93" s="9"/>
    </row>
    <row r="94" spans="1:23">
      <c r="M94" s="7"/>
      <c r="O94" s="120"/>
      <c r="P94" s="11"/>
      <c r="R94" s="9"/>
    </row>
    <row r="95" spans="1:23">
      <c r="M95" s="7"/>
      <c r="O95" s="120"/>
      <c r="P95" s="11"/>
      <c r="R95" s="9"/>
    </row>
    <row r="96" spans="1:23">
      <c r="M96" s="7"/>
      <c r="O96" s="120"/>
      <c r="P96" s="11"/>
      <c r="R96" s="9"/>
    </row>
    <row r="97" spans="13:18">
      <c r="M97" s="7"/>
      <c r="O97" s="120"/>
      <c r="P97" s="11"/>
      <c r="R97" s="9"/>
    </row>
    <row r="98" spans="13:18">
      <c r="M98" s="7"/>
      <c r="O98" s="120"/>
      <c r="P98" s="11"/>
      <c r="R98" s="9"/>
    </row>
    <row r="99" spans="13:18">
      <c r="M99" s="7"/>
      <c r="O99" s="120"/>
      <c r="P99" s="11"/>
      <c r="R99" s="9"/>
    </row>
    <row r="100" spans="13:18">
      <c r="M100" s="7"/>
      <c r="O100" s="120"/>
      <c r="P100" s="11"/>
      <c r="R100" s="9"/>
    </row>
    <row r="101" spans="13:18">
      <c r="M101" s="7"/>
      <c r="O101" s="120"/>
      <c r="P101" s="11"/>
      <c r="R101" s="9"/>
    </row>
    <row r="102" spans="13:18">
      <c r="M102" s="7"/>
      <c r="O102" s="120"/>
      <c r="P102" s="11"/>
      <c r="R102" s="9"/>
    </row>
    <row r="103" spans="13:18">
      <c r="M103" s="7"/>
      <c r="O103" s="120"/>
      <c r="P103" s="11"/>
      <c r="R103" s="9"/>
    </row>
    <row r="104" spans="13:18">
      <c r="M104" s="7"/>
      <c r="O104" s="120"/>
      <c r="P104" s="11"/>
      <c r="R104" s="9"/>
    </row>
    <row r="105" spans="13:18">
      <c r="M105" s="7"/>
      <c r="O105" s="120"/>
      <c r="P105" s="11"/>
      <c r="R105" s="9"/>
    </row>
    <row r="106" spans="13:18">
      <c r="M106" s="7"/>
      <c r="O106" s="120"/>
      <c r="P106" s="11"/>
      <c r="R106" s="9"/>
    </row>
    <row r="107" spans="13:18">
      <c r="M107" s="7"/>
      <c r="O107" s="120"/>
      <c r="P107" s="11"/>
      <c r="R107" s="9"/>
    </row>
    <row r="108" spans="13:18">
      <c r="M108" s="7"/>
      <c r="O108" s="120"/>
      <c r="P108" s="11"/>
      <c r="R108" s="9"/>
    </row>
    <row r="109" spans="13:18">
      <c r="M109" s="7"/>
      <c r="O109" s="120"/>
      <c r="P109" s="11"/>
      <c r="R109" s="9"/>
    </row>
    <row r="110" spans="13:18">
      <c r="M110" s="7"/>
      <c r="O110" s="120"/>
      <c r="P110" s="11"/>
      <c r="R110" s="9"/>
    </row>
    <row r="111" spans="13:18">
      <c r="M111" s="7"/>
      <c r="O111" s="120"/>
      <c r="P111" s="11"/>
      <c r="R111" s="9"/>
    </row>
    <row r="112" spans="13:18">
      <c r="M112" s="7"/>
      <c r="O112" s="120"/>
      <c r="P112" s="11"/>
      <c r="R112" s="9"/>
    </row>
    <row r="113" spans="13:18">
      <c r="M113" s="7"/>
      <c r="O113" s="120"/>
      <c r="P113" s="11"/>
      <c r="R113" s="9"/>
    </row>
    <row r="114" spans="13:18">
      <c r="M114" s="7"/>
      <c r="O114" s="120"/>
      <c r="P114" s="11"/>
      <c r="R114" s="9"/>
    </row>
    <row r="115" spans="13:18">
      <c r="M115" s="7"/>
      <c r="O115" s="120"/>
      <c r="P115" s="11"/>
      <c r="R115" s="9"/>
    </row>
    <row r="116" spans="13:18">
      <c r="M116" s="7"/>
      <c r="O116" s="120"/>
      <c r="P116" s="11"/>
      <c r="R116" s="9"/>
    </row>
    <row r="117" spans="13:18">
      <c r="M117" s="7"/>
      <c r="O117" s="120"/>
      <c r="P117" s="11"/>
      <c r="R117" s="9"/>
    </row>
    <row r="118" spans="13:18">
      <c r="M118" s="7"/>
      <c r="O118" s="120"/>
      <c r="P118" s="11"/>
      <c r="R118" s="9"/>
    </row>
    <row r="119" spans="13:18">
      <c r="M119" s="7"/>
      <c r="O119" s="120"/>
      <c r="P119" s="11"/>
      <c r="R119" s="9"/>
    </row>
    <row r="120" spans="13:18">
      <c r="M120" s="7"/>
      <c r="O120" s="120"/>
      <c r="P120" s="11"/>
      <c r="R120" s="9"/>
    </row>
    <row r="121" spans="13:18">
      <c r="M121" s="7"/>
      <c r="O121" s="120"/>
      <c r="P121" s="11"/>
      <c r="R121" s="9"/>
    </row>
    <row r="122" spans="13:18">
      <c r="M122" s="7"/>
      <c r="O122" s="120"/>
      <c r="P122" s="11"/>
      <c r="R122" s="9"/>
    </row>
    <row r="123" spans="13:18">
      <c r="M123" s="7"/>
      <c r="O123" s="120"/>
      <c r="P123" s="11"/>
      <c r="R123" s="9"/>
    </row>
    <row r="124" spans="13:18">
      <c r="M124" s="7"/>
      <c r="O124" s="120"/>
      <c r="P124" s="11"/>
      <c r="R124" s="9"/>
    </row>
    <row r="125" spans="13:18">
      <c r="M125" s="7"/>
      <c r="O125" s="120"/>
      <c r="P125" s="11"/>
      <c r="R125" s="9"/>
    </row>
    <row r="126" spans="13:18">
      <c r="M126" s="7"/>
      <c r="O126" s="120"/>
      <c r="P126" s="11"/>
      <c r="R126" s="9"/>
    </row>
    <row r="127" spans="13:18">
      <c r="M127" s="7"/>
      <c r="O127" s="120"/>
      <c r="P127" s="11"/>
      <c r="R127" s="9"/>
    </row>
    <row r="128" spans="13:18">
      <c r="M128" s="7"/>
      <c r="O128" s="120"/>
      <c r="P128" s="11"/>
      <c r="R128" s="9"/>
    </row>
    <row r="129" spans="13:18">
      <c r="M129" s="7"/>
      <c r="O129" s="120"/>
      <c r="P129" s="11"/>
      <c r="R129" s="9"/>
    </row>
    <row r="130" spans="13:18">
      <c r="M130" s="7"/>
      <c r="O130" s="120"/>
      <c r="P130" s="11"/>
      <c r="R130" s="9"/>
    </row>
    <row r="131" spans="13:18">
      <c r="M131" s="7"/>
      <c r="O131" s="120"/>
      <c r="P131" s="11"/>
      <c r="R131" s="9"/>
    </row>
    <row r="132" spans="13:18">
      <c r="M132" s="7"/>
      <c r="O132" s="120"/>
      <c r="P132" s="11"/>
      <c r="R132" s="9"/>
    </row>
    <row r="133" spans="13:18">
      <c r="M133" s="7"/>
      <c r="O133" s="120"/>
      <c r="P133" s="11"/>
      <c r="R133" s="9"/>
    </row>
    <row r="134" spans="13:18">
      <c r="M134" s="7"/>
      <c r="O134" s="120"/>
      <c r="P134" s="11"/>
      <c r="R134" s="9"/>
    </row>
    <row r="135" spans="13:18">
      <c r="M135" s="7"/>
      <c r="O135" s="120"/>
      <c r="P135" s="11"/>
      <c r="R135" s="9"/>
    </row>
    <row r="136" spans="13:18">
      <c r="M136" s="7"/>
      <c r="O136" s="120"/>
      <c r="P136" s="11"/>
      <c r="R136" s="9"/>
    </row>
    <row r="137" spans="13:18">
      <c r="M137" s="7"/>
      <c r="O137" s="120"/>
      <c r="P137" s="11"/>
      <c r="R137" s="9"/>
    </row>
    <row r="138" spans="13:18">
      <c r="M138" s="7"/>
      <c r="O138" s="120"/>
      <c r="P138" s="11"/>
      <c r="R138" s="9"/>
    </row>
    <row r="139" spans="13:18">
      <c r="M139" s="7"/>
      <c r="O139" s="120"/>
      <c r="P139" s="11"/>
      <c r="R139" s="9"/>
    </row>
    <row r="140" spans="13:18">
      <c r="M140" s="7"/>
      <c r="O140" s="120"/>
      <c r="P140" s="11"/>
      <c r="R140" s="9"/>
    </row>
    <row r="141" spans="13:18">
      <c r="M141" s="7"/>
      <c r="O141" s="120"/>
      <c r="P141" s="11"/>
      <c r="R141" s="9"/>
    </row>
    <row r="142" spans="13:18">
      <c r="M142" s="7"/>
      <c r="O142" s="120"/>
      <c r="P142" s="11"/>
      <c r="R142" s="9"/>
    </row>
    <row r="143" spans="13:18">
      <c r="M143" s="7"/>
      <c r="O143" s="120"/>
      <c r="P143" s="11"/>
      <c r="R143" s="9"/>
    </row>
    <row r="144" spans="13:18">
      <c r="M144" s="7"/>
      <c r="O144" s="120"/>
      <c r="P144" s="11"/>
      <c r="R144" s="9"/>
    </row>
    <row r="145" spans="13:18">
      <c r="M145" s="7"/>
      <c r="O145" s="120"/>
      <c r="P145" s="11"/>
      <c r="R145" s="9"/>
    </row>
    <row r="146" spans="13:18">
      <c r="M146" s="7"/>
      <c r="O146" s="120"/>
      <c r="P146" s="11"/>
      <c r="R146" s="9"/>
    </row>
    <row r="147" spans="13:18">
      <c r="M147" s="7"/>
      <c r="O147" s="120"/>
      <c r="P147" s="11"/>
      <c r="R147" s="9"/>
    </row>
    <row r="148" spans="13:18">
      <c r="M148" s="7"/>
      <c r="O148" s="120"/>
      <c r="P148" s="11"/>
      <c r="R148" s="9"/>
    </row>
    <row r="149" spans="13:18">
      <c r="M149" s="7"/>
      <c r="O149" s="120"/>
      <c r="P149" s="11"/>
      <c r="R149" s="9"/>
    </row>
    <row r="150" spans="13:18">
      <c r="M150" s="7"/>
      <c r="O150" s="120"/>
      <c r="P150" s="11"/>
      <c r="R150" s="9"/>
    </row>
    <row r="151" spans="13:18">
      <c r="M151" s="7"/>
      <c r="O151" s="120"/>
      <c r="P151" s="11"/>
      <c r="R151" s="9"/>
    </row>
    <row r="152" spans="13:18">
      <c r="M152" s="7"/>
      <c r="O152" s="120"/>
      <c r="P152" s="11"/>
      <c r="R152" s="9"/>
    </row>
    <row r="153" spans="13:18">
      <c r="M153" s="7"/>
      <c r="O153" s="120"/>
      <c r="P153" s="11"/>
      <c r="R153" s="9"/>
    </row>
    <row r="154" spans="13:18">
      <c r="M154" s="7"/>
      <c r="O154" s="120"/>
      <c r="P154" s="11"/>
      <c r="R154" s="9"/>
    </row>
    <row r="155" spans="13:18">
      <c r="M155" s="7"/>
      <c r="O155" s="120"/>
      <c r="P155" s="11"/>
      <c r="R155" s="9"/>
    </row>
    <row r="156" spans="13:18">
      <c r="M156" s="7"/>
      <c r="O156" s="120"/>
      <c r="P156" s="11"/>
      <c r="R156" s="9"/>
    </row>
    <row r="157" spans="13:18">
      <c r="M157" s="7"/>
      <c r="O157" s="120"/>
      <c r="P157" s="11"/>
      <c r="R157" s="9"/>
    </row>
    <row r="158" spans="13:18">
      <c r="M158" s="7"/>
      <c r="O158" s="120"/>
      <c r="P158" s="11"/>
      <c r="R158" s="9"/>
    </row>
    <row r="159" spans="13:18">
      <c r="M159" s="7"/>
      <c r="O159" s="120"/>
      <c r="P159" s="11"/>
      <c r="R159" s="9"/>
    </row>
    <row r="160" spans="13:18">
      <c r="M160" s="7"/>
      <c r="O160" s="120"/>
      <c r="P160" s="11"/>
      <c r="R160" s="9"/>
    </row>
    <row r="161" spans="13:18">
      <c r="M161" s="7"/>
      <c r="O161" s="120"/>
      <c r="P161" s="11"/>
      <c r="R161" s="9"/>
    </row>
    <row r="162" spans="13:18">
      <c r="M162" s="7"/>
      <c r="O162" s="120"/>
      <c r="P162" s="11"/>
      <c r="R162" s="9"/>
    </row>
    <row r="163" spans="13:18">
      <c r="M163" s="7"/>
      <c r="O163" s="120"/>
      <c r="P163" s="11"/>
      <c r="R163" s="9"/>
    </row>
    <row r="164" spans="13:18">
      <c r="M164" s="7"/>
      <c r="O164" s="120"/>
      <c r="P164" s="11"/>
      <c r="R164" s="9"/>
    </row>
    <row r="165" spans="13:18">
      <c r="M165" s="7"/>
      <c r="O165" s="120"/>
      <c r="P165" s="11"/>
      <c r="R165" s="9"/>
    </row>
    <row r="166" spans="13:18">
      <c r="M166" s="7"/>
      <c r="O166" s="120"/>
      <c r="P166" s="11"/>
      <c r="R166" s="9"/>
    </row>
    <row r="167" spans="13:18">
      <c r="M167" s="7"/>
      <c r="O167" s="120"/>
      <c r="P167" s="11"/>
      <c r="R167" s="9"/>
    </row>
    <row r="168" spans="13:18">
      <c r="M168" s="7"/>
      <c r="O168" s="120"/>
      <c r="P168" s="11"/>
      <c r="R168" s="9"/>
    </row>
    <row r="169" spans="13:18">
      <c r="M169" s="7"/>
      <c r="O169" s="120"/>
      <c r="P169" s="11"/>
      <c r="R169" s="9"/>
    </row>
    <row r="170" spans="13:18">
      <c r="M170" s="7"/>
      <c r="O170" s="120"/>
      <c r="P170" s="11"/>
      <c r="R170" s="9"/>
    </row>
    <row r="171" spans="13:18">
      <c r="M171" s="7"/>
      <c r="O171" s="120"/>
      <c r="P171" s="11"/>
      <c r="R171" s="9"/>
    </row>
    <row r="172" spans="13:18">
      <c r="M172" s="7"/>
      <c r="O172" s="120"/>
      <c r="P172" s="11"/>
      <c r="R172" s="9"/>
    </row>
    <row r="173" spans="13:18">
      <c r="M173" s="7"/>
      <c r="O173" s="120"/>
      <c r="P173" s="11"/>
      <c r="R173" s="9"/>
    </row>
    <row r="174" spans="13:18">
      <c r="M174" s="7"/>
      <c r="O174" s="120"/>
      <c r="P174" s="11"/>
      <c r="R174" s="9"/>
    </row>
    <row r="175" spans="13:18">
      <c r="M175" s="7"/>
      <c r="O175" s="120"/>
      <c r="P175" s="11"/>
      <c r="R175" s="9"/>
    </row>
    <row r="176" spans="13:18">
      <c r="M176" s="7"/>
      <c r="O176" s="120"/>
      <c r="P176" s="11"/>
      <c r="R176" s="9"/>
    </row>
    <row r="177" spans="13:18">
      <c r="M177" s="7"/>
      <c r="O177" s="120"/>
      <c r="P177" s="11"/>
      <c r="R177" s="9"/>
    </row>
    <row r="178" spans="13:18">
      <c r="M178" s="7"/>
      <c r="O178" s="120"/>
      <c r="P178" s="11"/>
      <c r="R178" s="9"/>
    </row>
    <row r="179" spans="13:18">
      <c r="M179" s="7"/>
      <c r="O179" s="120"/>
      <c r="P179" s="11"/>
      <c r="R179" s="9"/>
    </row>
    <row r="180" spans="13:18">
      <c r="M180" s="7"/>
      <c r="O180" s="120"/>
      <c r="P180" s="11"/>
      <c r="R180" s="9"/>
    </row>
    <row r="181" spans="13:18">
      <c r="M181" s="7"/>
      <c r="O181" s="120"/>
      <c r="P181" s="11"/>
      <c r="R181" s="9"/>
    </row>
    <row r="182" spans="13:18">
      <c r="M182" s="7"/>
      <c r="O182" s="120"/>
      <c r="P182" s="11"/>
      <c r="R182" s="9"/>
    </row>
    <row r="183" spans="13:18">
      <c r="M183" s="7"/>
      <c r="O183" s="120"/>
      <c r="P183" s="11"/>
      <c r="R183" s="9"/>
    </row>
    <row r="184" spans="13:18">
      <c r="M184" s="7"/>
      <c r="O184" s="120"/>
      <c r="P184" s="11"/>
      <c r="R184" s="9"/>
    </row>
    <row r="185" spans="13:18">
      <c r="M185" s="7"/>
      <c r="O185" s="120"/>
      <c r="P185" s="11"/>
      <c r="R185" s="9"/>
    </row>
    <row r="186" spans="13:18">
      <c r="M186" s="7"/>
      <c r="O186" s="120"/>
      <c r="P186" s="11"/>
      <c r="R186" s="9"/>
    </row>
    <row r="187" spans="13:18">
      <c r="M187" s="7"/>
      <c r="O187" s="120"/>
      <c r="P187" s="11"/>
      <c r="R187" s="9"/>
    </row>
    <row r="188" spans="13:18">
      <c r="M188" s="7"/>
      <c r="O188" s="120"/>
      <c r="P188" s="11"/>
      <c r="R188" s="9"/>
    </row>
    <row r="189" spans="13:18">
      <c r="M189" s="7"/>
      <c r="O189" s="120"/>
      <c r="P189" s="11"/>
      <c r="R189" s="9"/>
    </row>
    <row r="190" spans="13:18">
      <c r="M190" s="7"/>
      <c r="O190" s="120"/>
      <c r="P190" s="11"/>
      <c r="R190" s="9"/>
    </row>
    <row r="191" spans="13:18">
      <c r="M191" s="7"/>
      <c r="O191" s="120"/>
      <c r="P191" s="11"/>
      <c r="R191" s="9"/>
    </row>
    <row r="192" spans="13:18">
      <c r="M192" s="7"/>
      <c r="O192" s="120"/>
      <c r="P192" s="11"/>
      <c r="R192" s="9"/>
    </row>
    <row r="193" spans="13:18">
      <c r="M193" s="7"/>
      <c r="O193" s="120"/>
      <c r="P193" s="11"/>
      <c r="R193" s="9"/>
    </row>
    <row r="194" spans="13:18">
      <c r="M194" s="7"/>
      <c r="O194" s="120"/>
      <c r="P194" s="11"/>
      <c r="R194" s="9"/>
    </row>
    <row r="195" spans="13:18">
      <c r="M195" s="7"/>
      <c r="O195" s="120"/>
      <c r="P195" s="11"/>
      <c r="R195" s="9"/>
    </row>
    <row r="196" spans="13:18">
      <c r="M196" s="7"/>
      <c r="O196" s="120"/>
      <c r="P196" s="11"/>
      <c r="R196" s="9"/>
    </row>
    <row r="197" spans="13:18">
      <c r="M197" s="7"/>
      <c r="O197" s="120"/>
      <c r="P197" s="11"/>
      <c r="R197" s="9"/>
    </row>
    <row r="198" spans="13:18">
      <c r="M198" s="7"/>
      <c r="O198" s="120"/>
      <c r="P198" s="11"/>
      <c r="R198" s="9"/>
    </row>
  </sheetData>
  <sheetProtection password="CCF4" sheet="1" objects="1" scenarios="1"/>
  <mergeCells count="6">
    <mergeCell ref="T2:X2"/>
    <mergeCell ref="O2:R2"/>
    <mergeCell ref="A2:D2"/>
    <mergeCell ref="F2:I2"/>
    <mergeCell ref="F3:I3"/>
    <mergeCell ref="A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Fogli di lavoro</vt:lpstr>
      </vt:variant>
      <vt:variant>
        <vt:i4>6</vt:i4>
      </vt:variant>
      <vt:variant>
        <vt:lpstr>Grafici</vt:lpstr>
      </vt:variant>
      <vt:variant>
        <vt:i4>2</vt:i4>
      </vt:variant>
      <vt:variant>
        <vt:lpstr>Intervalli denominati</vt:lpstr>
      </vt:variant>
      <vt:variant>
        <vt:i4>2</vt:i4>
      </vt:variant>
    </vt:vector>
  </HeadingPairs>
  <TitlesOfParts>
    <vt:vector size="10" baseType="lpstr">
      <vt:lpstr>SPESE TEC. AMBITO A</vt:lpstr>
      <vt:lpstr>SPESE TECNICHE AMBITO B</vt:lpstr>
      <vt:lpstr>Tab. coeff-ID</vt:lpstr>
      <vt:lpstr>tab z-2</vt:lpstr>
      <vt:lpstr>Calcoli (spese amb.B)</vt:lpstr>
      <vt:lpstr>calcoli GRAFICO</vt:lpstr>
      <vt:lpstr>GRAFICO (spese ambito A )</vt:lpstr>
      <vt:lpstr>Grafico (spese ambito B)</vt:lpstr>
      <vt:lpstr>E.01</vt:lpstr>
      <vt:lpstr>ID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Giuliano Preti</dc:creator>
  <cp:lastModifiedBy>AT</cp:lastModifiedBy>
  <cp:lastPrinted>2017-12-14T16:21:57Z</cp:lastPrinted>
  <dcterms:created xsi:type="dcterms:W3CDTF">2017-09-30T10:45:25Z</dcterms:created>
  <dcterms:modified xsi:type="dcterms:W3CDTF">2018-01-31T14:44:13Z</dcterms:modified>
</cp:coreProperties>
</file>