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080" windowWidth="19320" windowHeight="12120" activeTab="0"/>
  </bookViews>
  <sheets>
    <sheet name="DATI" sheetId="1" r:id="rId1"/>
    <sheet name="CALCOLI" sheetId="2" r:id="rId2"/>
    <sheet name="LS - k" sheetId="3" r:id="rId3"/>
  </sheets>
  <definedNames>
    <definedName name="_xlnm.Print_Area" localSheetId="1">'CALCOLI'!$A$1:$J$11</definedName>
    <definedName name="_xlnm.Print_Area" localSheetId="0">'DATI'!$A$1:$K$18</definedName>
    <definedName name="_xlnm.Print_Area" localSheetId="2">'LS - k'!$A$1:$M$20</definedName>
  </definedNames>
  <calcPr fullCalcOnLoad="1"/>
</workbook>
</file>

<file path=xl/sharedStrings.xml><?xml version="1.0" encoding="utf-8"?>
<sst xmlns="http://schemas.openxmlformats.org/spreadsheetml/2006/main" count="62" uniqueCount="47">
  <si>
    <t>Pendenza (%)</t>
  </si>
  <si>
    <t>LS</t>
  </si>
  <si>
    <t>sabbia molto fine</t>
  </si>
  <si>
    <t>%</t>
  </si>
  <si>
    <t>limo</t>
  </si>
  <si>
    <t>argilla</t>
  </si>
  <si>
    <t>sostanza organica</t>
  </si>
  <si>
    <t>Indice strutturale</t>
  </si>
  <si>
    <t>Ksat</t>
  </si>
  <si>
    <t>t/ha*cm</t>
  </si>
  <si>
    <t>t/ha*mm</t>
  </si>
  <si>
    <t>colore grigio per le celle in cui vanno inseriti i dati</t>
  </si>
  <si>
    <t>CALCOLO fattore topografico LS</t>
  </si>
  <si>
    <t>unità di misura</t>
  </si>
  <si>
    <t>conducibilità alla saturazione (Ks)</t>
  </si>
  <si>
    <t>densità apparente (DA)</t>
  </si>
  <si>
    <t xml:space="preserve">sabbia </t>
  </si>
  <si>
    <t>controllo a 100 tessitura</t>
  </si>
  <si>
    <t>tipo di orizzonte</t>
  </si>
  <si>
    <t>g/cm3</t>
  </si>
  <si>
    <t>cm/d</t>
  </si>
  <si>
    <t>Os</t>
  </si>
  <si>
    <t>a</t>
  </si>
  <si>
    <t>n</t>
  </si>
  <si>
    <t>CIC330</t>
  </si>
  <si>
    <t>Porosità effettiva (Peff)</t>
  </si>
  <si>
    <t>PA1500</t>
  </si>
  <si>
    <t>AWC</t>
  </si>
  <si>
    <t>profondità</t>
  </si>
  <si>
    <t>mm</t>
  </si>
  <si>
    <t>scheletro</t>
  </si>
  <si>
    <t>NB. I dati inseriti in questa sezione costituiscono valori nei fogli successivi "calcoli" e "LS-k". Si consiglia pertanto di non modificare la posizione delle celle</t>
  </si>
  <si>
    <t>CALCOLO fattore di erodibilità k ORIZZONTE 1</t>
  </si>
  <si>
    <t>k =</t>
  </si>
  <si>
    <t>colore verde per le celle in cui vanno inseriti i dati</t>
  </si>
  <si>
    <t>1: Ks ≥ 61 cm/d  -  2: Ks tra 28 e 61 cm/d  -  3:  Ks tra 28 e 18 cm/d  -  4:  Ks tra 18 e 12 cm/d  -  5:  Ks ≤ 12</t>
  </si>
  <si>
    <t>1: granulare molto fine; 2: granulare fine; 3; granulare media o grossa; 4; prismatica, lamellare o massiva</t>
  </si>
  <si>
    <t>di cui sabbia molto fine</t>
  </si>
  <si>
    <t>1:  topsoil; 0: subsoil</t>
  </si>
  <si>
    <t>PXX1-or_sup</t>
  </si>
  <si>
    <t>PXX2-or_prof</t>
  </si>
  <si>
    <t>PXX1-or_prof</t>
  </si>
  <si>
    <t>PXX2-or_sup</t>
  </si>
  <si>
    <t>PXX3-or_sup</t>
  </si>
  <si>
    <t>PXX3-or_prof</t>
  </si>
  <si>
    <t>PXX4-or_sup</t>
  </si>
  <si>
    <t>PXX4-or_prof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</si>
</sst>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0"/>
    <numFmt numFmtId="179" formatCode="0.000000000000"/>
    <numFmt numFmtId="180" formatCode="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sz val="10.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7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7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2" fontId="6" fillId="34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76" fontId="4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33" borderId="0" xfId="0" applyFont="1" applyFill="1" applyAlignment="1">
      <alignment/>
    </xf>
    <xf numFmtId="0" fontId="10" fillId="37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18"/>
  <sheetViews>
    <sheetView tabSelected="1" zoomScalePageLayoutView="0" workbookViewId="0" topLeftCell="A1">
      <selection activeCell="I11" sqref="I11"/>
    </sheetView>
  </sheetViews>
  <sheetFormatPr defaultColWidth="10.8515625" defaultRowHeight="12.75"/>
  <cols>
    <col min="1" max="1" width="21.421875" style="8" customWidth="1"/>
    <col min="2" max="2" width="15.7109375" style="21" customWidth="1"/>
    <col min="3" max="10" width="14.8515625" style="8" customWidth="1"/>
    <col min="11" max="16384" width="10.8515625" style="8" customWidth="1"/>
  </cols>
  <sheetData>
    <row r="1" spans="1:12" ht="15">
      <c r="A1" s="60" t="s">
        <v>31</v>
      </c>
      <c r="B1" s="28"/>
      <c r="C1" s="15"/>
      <c r="D1" s="15"/>
      <c r="E1" s="15"/>
      <c r="F1" s="15"/>
      <c r="G1" s="15"/>
      <c r="H1" s="15"/>
      <c r="I1" s="15"/>
      <c r="J1" s="15"/>
      <c r="K1" s="29"/>
      <c r="L1" s="29"/>
    </row>
    <row r="2" spans="3:10" ht="15">
      <c r="C2" s="54"/>
      <c r="D2" s="53"/>
      <c r="E2" s="53"/>
      <c r="F2" s="53"/>
      <c r="G2" s="53"/>
      <c r="H2" s="53"/>
      <c r="I2" s="53"/>
      <c r="J2" s="53"/>
    </row>
    <row r="3" spans="2:10" ht="21" customHeight="1">
      <c r="B3" s="43"/>
      <c r="C3" s="61" t="s">
        <v>39</v>
      </c>
      <c r="D3" s="61" t="s">
        <v>41</v>
      </c>
      <c r="E3" s="61" t="s">
        <v>42</v>
      </c>
      <c r="F3" s="61" t="s">
        <v>40</v>
      </c>
      <c r="G3" s="61" t="s">
        <v>43</v>
      </c>
      <c r="H3" s="61" t="s">
        <v>44</v>
      </c>
      <c r="I3" s="61" t="s">
        <v>45</v>
      </c>
      <c r="J3" s="61" t="s">
        <v>46</v>
      </c>
    </row>
    <row r="4" spans="1:10" ht="27.75" customHeight="1">
      <c r="A4" s="49" t="s">
        <v>18</v>
      </c>
      <c r="B4" s="55" t="s">
        <v>38</v>
      </c>
      <c r="C4" s="9">
        <v>1</v>
      </c>
      <c r="D4" s="9">
        <v>0</v>
      </c>
      <c r="E4" s="9">
        <v>1</v>
      </c>
      <c r="F4" s="9">
        <v>0</v>
      </c>
      <c r="G4" s="9">
        <v>1</v>
      </c>
      <c r="H4" s="9">
        <v>0</v>
      </c>
      <c r="I4" s="9">
        <v>1</v>
      </c>
      <c r="J4" s="9">
        <v>0</v>
      </c>
    </row>
    <row r="5" spans="1:10" ht="27.75" customHeight="1">
      <c r="A5" s="49" t="s">
        <v>28</v>
      </c>
      <c r="B5" s="56" t="s">
        <v>29</v>
      </c>
      <c r="C5" s="9">
        <v>380</v>
      </c>
      <c r="D5" s="9">
        <f>802-320</f>
        <v>482</v>
      </c>
      <c r="E5" s="9">
        <v>380</v>
      </c>
      <c r="F5" s="9">
        <v>200</v>
      </c>
      <c r="G5" s="9">
        <v>380</v>
      </c>
      <c r="H5" s="9">
        <v>400</v>
      </c>
      <c r="I5" s="9">
        <v>380</v>
      </c>
      <c r="J5" s="9">
        <f>530-380</f>
        <v>150</v>
      </c>
    </row>
    <row r="6" spans="1:10" ht="27.75" customHeight="1">
      <c r="A6" s="48" t="s">
        <v>30</v>
      </c>
      <c r="B6" s="57" t="s">
        <v>3</v>
      </c>
      <c r="C6" s="9">
        <v>0.9</v>
      </c>
      <c r="D6" s="9">
        <v>0.5</v>
      </c>
      <c r="E6" s="9">
        <v>0.5</v>
      </c>
      <c r="F6" s="9">
        <v>0.6</v>
      </c>
      <c r="G6" s="9">
        <v>0.6</v>
      </c>
      <c r="H6" s="9">
        <v>0.6</v>
      </c>
      <c r="I6" s="9">
        <v>0.6</v>
      </c>
      <c r="J6" s="9">
        <v>0.7</v>
      </c>
    </row>
    <row r="7" spans="1:10" ht="27.75" customHeight="1">
      <c r="A7" s="48" t="s">
        <v>16</v>
      </c>
      <c r="B7" s="57" t="s">
        <v>3</v>
      </c>
      <c r="C7" s="9">
        <v>6.6</v>
      </c>
      <c r="D7" s="9">
        <v>3</v>
      </c>
      <c r="E7" s="9">
        <v>7.5</v>
      </c>
      <c r="F7" s="9">
        <v>9.1</v>
      </c>
      <c r="G7" s="9">
        <f>1.2+3.4</f>
        <v>4.6</v>
      </c>
      <c r="H7" s="9">
        <f>2.4+2.6</f>
        <v>5</v>
      </c>
      <c r="I7" s="9">
        <v>44.5</v>
      </c>
      <c r="J7" s="9">
        <v>44.5</v>
      </c>
    </row>
    <row r="8" spans="1:10" ht="22.5" customHeight="1">
      <c r="A8" s="52" t="s">
        <v>37</v>
      </c>
      <c r="B8" s="57" t="s">
        <v>3</v>
      </c>
      <c r="C8" s="9">
        <v>4.5</v>
      </c>
      <c r="D8" s="9">
        <v>2</v>
      </c>
      <c r="E8" s="9">
        <v>5.4</v>
      </c>
      <c r="F8" s="9">
        <v>6.3</v>
      </c>
      <c r="G8" s="9">
        <v>3.4</v>
      </c>
      <c r="H8" s="9">
        <v>2.6</v>
      </c>
      <c r="I8" s="9">
        <v>4.1</v>
      </c>
      <c r="J8" s="9">
        <v>3.8</v>
      </c>
    </row>
    <row r="9" spans="1:10" ht="27.75" customHeight="1">
      <c r="A9" s="48" t="s">
        <v>4</v>
      </c>
      <c r="B9" s="57" t="s">
        <v>3</v>
      </c>
      <c r="C9" s="9">
        <f>38.8+8.5</f>
        <v>47.3</v>
      </c>
      <c r="D9" s="9">
        <f>44.7+2.6</f>
        <v>47.300000000000004</v>
      </c>
      <c r="E9" s="9">
        <f>4.4+42.8</f>
        <v>47.199999999999996</v>
      </c>
      <c r="F9" s="9">
        <f>11.4+28.2</f>
        <v>39.6</v>
      </c>
      <c r="G9" s="9">
        <f>7.8+36.5</f>
        <v>44.3</v>
      </c>
      <c r="H9" s="9">
        <f>9.3+24.5</f>
        <v>33.8</v>
      </c>
      <c r="I9" s="9">
        <v>20</v>
      </c>
      <c r="J9" s="9">
        <v>25.5</v>
      </c>
    </row>
    <row r="10" spans="1:10" ht="27.75" customHeight="1">
      <c r="A10" s="48" t="s">
        <v>5</v>
      </c>
      <c r="B10" s="57" t="s">
        <v>3</v>
      </c>
      <c r="C10" s="9">
        <v>46.1</v>
      </c>
      <c r="D10" s="9">
        <v>49.7</v>
      </c>
      <c r="E10" s="9">
        <v>45.3</v>
      </c>
      <c r="F10" s="9">
        <v>51.3</v>
      </c>
      <c r="G10" s="9">
        <v>51.1</v>
      </c>
      <c r="H10" s="9">
        <v>61.2</v>
      </c>
      <c r="I10" s="9">
        <v>35.5</v>
      </c>
      <c r="J10" s="9">
        <v>30</v>
      </c>
    </row>
    <row r="11" spans="1:10" ht="27.75" customHeight="1">
      <c r="A11" s="48" t="s">
        <v>6</v>
      </c>
      <c r="B11" s="57" t="s">
        <v>3</v>
      </c>
      <c r="C11" s="27">
        <v>1.41</v>
      </c>
      <c r="D11" s="27">
        <v>1.33</v>
      </c>
      <c r="E11" s="27">
        <v>2.74</v>
      </c>
      <c r="F11" s="27">
        <v>2.19</v>
      </c>
      <c r="G11" s="27">
        <v>2.74</v>
      </c>
      <c r="H11" s="27">
        <v>2.47</v>
      </c>
      <c r="I11" s="27">
        <v>2.98</v>
      </c>
      <c r="J11" s="27">
        <v>2.05</v>
      </c>
    </row>
    <row r="12" spans="1:10" ht="77.25" customHeight="1">
      <c r="A12" s="48" t="s">
        <v>7</v>
      </c>
      <c r="B12" s="51" t="s">
        <v>36</v>
      </c>
      <c r="C12" s="50">
        <v>2</v>
      </c>
      <c r="D12" s="50">
        <v>3</v>
      </c>
      <c r="E12" s="50">
        <v>2</v>
      </c>
      <c r="F12" s="50">
        <v>3</v>
      </c>
      <c r="G12" s="50">
        <v>2</v>
      </c>
      <c r="H12" s="50">
        <v>3</v>
      </c>
      <c r="I12" s="50">
        <v>2</v>
      </c>
      <c r="J12" s="50">
        <v>3</v>
      </c>
    </row>
    <row r="13" spans="1:10" ht="27.75" customHeight="1">
      <c r="A13" s="10"/>
      <c r="B13" s="24"/>
      <c r="C13" s="29"/>
      <c r="D13" s="29"/>
      <c r="E13" s="29"/>
      <c r="F13" s="29"/>
      <c r="G13" s="29"/>
      <c r="H13" s="29"/>
      <c r="I13" s="29"/>
      <c r="J13" s="29"/>
    </row>
    <row r="15" spans="3:9" ht="15">
      <c r="C15" s="9"/>
      <c r="D15" s="31" t="s">
        <v>34</v>
      </c>
      <c r="E15" s="31"/>
      <c r="F15" s="31"/>
      <c r="G15" s="31"/>
      <c r="I15" s="31"/>
    </row>
    <row r="18" spans="2:10" ht="15">
      <c r="B18" s="58" t="s">
        <v>17</v>
      </c>
      <c r="C18" s="59">
        <f aca="true" t="shared" si="0" ref="C18:H18">C7+C9+C10</f>
        <v>100</v>
      </c>
      <c r="D18" s="59">
        <f t="shared" si="0"/>
        <v>100</v>
      </c>
      <c r="E18" s="59">
        <f t="shared" si="0"/>
        <v>100</v>
      </c>
      <c r="F18" s="59">
        <f t="shared" si="0"/>
        <v>100</v>
      </c>
      <c r="G18" s="59">
        <f t="shared" si="0"/>
        <v>100</v>
      </c>
      <c r="H18" s="59">
        <f t="shared" si="0"/>
        <v>100</v>
      </c>
      <c r="I18" s="59">
        <f>I7+I9+I10</f>
        <v>100</v>
      </c>
      <c r="J18" s="59">
        <f>J7+J9+J10</f>
        <v>100</v>
      </c>
    </row>
  </sheetData>
  <sheetProtection/>
  <mergeCells count="1">
    <mergeCell ref="C2:J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11"/>
  <sheetViews>
    <sheetView zoomScalePageLayoutView="0" workbookViewId="0" topLeftCell="A1">
      <selection activeCell="E11" sqref="E11"/>
    </sheetView>
  </sheetViews>
  <sheetFormatPr defaultColWidth="10.8515625" defaultRowHeight="12.75"/>
  <cols>
    <col min="1" max="1" width="36.28125" style="8" customWidth="1"/>
    <col min="2" max="2" width="13.7109375" style="23" customWidth="1"/>
    <col min="3" max="3" width="15.8515625" style="8" bestFit="1" customWidth="1"/>
    <col min="4" max="4" width="16.140625" style="8" bestFit="1" customWidth="1"/>
    <col min="5" max="5" width="15.8515625" style="8" bestFit="1" customWidth="1"/>
    <col min="6" max="6" width="16.140625" style="8" bestFit="1" customWidth="1"/>
    <col min="7" max="7" width="15.8515625" style="8" bestFit="1" customWidth="1"/>
    <col min="8" max="8" width="16.140625" style="8" bestFit="1" customWidth="1"/>
    <col min="9" max="9" width="15.8515625" style="8" bestFit="1" customWidth="1"/>
    <col min="10" max="10" width="16.140625" style="8" bestFit="1" customWidth="1"/>
    <col min="11" max="16384" width="10.8515625" style="8" customWidth="1"/>
  </cols>
  <sheetData>
    <row r="1" spans="3:10" ht="15.75">
      <c r="C1" s="22" t="str">
        <f>DATI!C3</f>
        <v>PXX1-or_sup</v>
      </c>
      <c r="D1" s="22" t="str">
        <f>DATI!D3</f>
        <v>PXX1-or_prof</v>
      </c>
      <c r="E1" s="22" t="str">
        <f>DATI!E3</f>
        <v>PXX2-or_sup</v>
      </c>
      <c r="F1" s="22" t="str">
        <f>DATI!F3</f>
        <v>PXX2-or_prof</v>
      </c>
      <c r="G1" s="22" t="str">
        <f>DATI!G3</f>
        <v>PXX3-or_sup</v>
      </c>
      <c r="H1" s="22" t="str">
        <f>DATI!H3</f>
        <v>PXX3-or_prof</v>
      </c>
      <c r="I1" s="22" t="str">
        <f>DATI!I3</f>
        <v>PXX4-or_sup</v>
      </c>
      <c r="J1" s="22" t="str">
        <f>DATI!J3</f>
        <v>PXX4-or_prof</v>
      </c>
    </row>
    <row r="2" ht="19.5" customHeight="1">
      <c r="B2" s="23" t="s">
        <v>13</v>
      </c>
    </row>
    <row r="3" spans="1:10" ht="27.75" customHeight="1">
      <c r="A3" s="8" t="s">
        <v>15</v>
      </c>
      <c r="B3" s="23" t="s">
        <v>19</v>
      </c>
      <c r="C3" s="25">
        <f>1.51+0.0025*DATI!C7-0.0013*DATI!C7*DATI!C11-0.0006*DATI!C10*DATI!C11-(0.0048*DATI!C10*DATI!C10/60)</f>
        <v>1.3053848</v>
      </c>
      <c r="D3" s="25">
        <f>1.51+0.0025*DATI!D7-0.0013*DATI!D7*DATI!D11-0.0006*DATI!D10*DATI!D11-(0.0048*DATI!D10*DATI!D10/60)</f>
        <v>1.2750452</v>
      </c>
      <c r="E3" s="25">
        <f>1.51+0.0025*DATI!E7-0.0013*DATI!E7*DATI!E11-0.0006*DATI!E10*DATI!E11-(0.0048*DATI!E10*DATI!E10/60)</f>
        <v>1.2633946000000003</v>
      </c>
      <c r="F3" s="25">
        <f>1.51+0.0025*DATI!F7-0.0013*DATI!F7*DATI!F11-0.0006*DATI!F10*DATI!F11-(0.0048*DATI!F10*DATI!F10/60)</f>
        <v>1.2288989</v>
      </c>
      <c r="G3" s="25">
        <f>1.51+0.0025*DATI!G7-0.0013*DATI!G7*DATI!G11-0.0006*DATI!G10*DATI!G11-(0.0048*DATI!G10*DATI!G10/60)</f>
        <v>1.2122096</v>
      </c>
      <c r="H3" s="25">
        <f>1.51+0.0025*DATI!H7-0.0013*DATI!H7*DATI!H11-0.0006*DATI!H10*DATI!H11-(0.0048*DATI!H10*DATI!H10/60)</f>
        <v>1.1161114</v>
      </c>
      <c r="I3" s="25">
        <f>1.51+0.0025*DATI!I7-0.0013*DATI!I7*DATI!I11-0.0006*DATI!I10*DATI!I11-(0.0048*DATI!I10*DATI!I10/60)</f>
        <v>1.2845630000000001</v>
      </c>
      <c r="J3" s="25">
        <f>1.51+0.0025*DATI!J7-0.0013*DATI!J7*DATI!J11-0.0006*DATI!J10*DATI!J11-(0.0048*DATI!J10*DATI!J10/60)</f>
        <v>1.3937575000000002</v>
      </c>
    </row>
    <row r="4" spans="1:10" ht="27.75" customHeight="1">
      <c r="A4" s="8" t="s">
        <v>14</v>
      </c>
      <c r="B4" s="23" t="s">
        <v>20</v>
      </c>
      <c r="C4" s="26">
        <f>EXP(20.62-0.96*LN(DATI!C10)-0.66*LN(DATI!C7)-0.46*LN(DATI!C11)-8.43*C3)</f>
        <v>93.17770456022342</v>
      </c>
      <c r="D4" s="26">
        <f>EXP(20.62-0.96*LN(DATI!D10)-0.66*LN(DATI!D7)-0.46*LN(DATI!D11)-8.43*D3)</f>
        <v>193.51166681563126</v>
      </c>
      <c r="E4" s="26">
        <f>EXP(20.62-0.96*LN(DATI!E10)-0.66*LN(DATI!E7)-0.46*LN(DATI!E11)-8.43*E3)</f>
        <v>91.40609250739128</v>
      </c>
      <c r="F4" s="26">
        <f>EXP(20.62-0.96*LN(DATI!F10)-0.66*LN(DATI!F7)-0.46*LN(DATI!F11)-8.43*F3)</f>
        <v>105.86273772261013</v>
      </c>
      <c r="G4" s="26">
        <f>EXP(20.62-0.96*LN(DATI!G10)-0.66*LN(DATI!G7)-0.46*LN(DATI!G11)-8.43*G3)</f>
        <v>173.0848870920639</v>
      </c>
      <c r="H4" s="26">
        <f>EXP(20.62-0.96*LN(DATI!H10)-0.66*LN(DATI!H7)-0.46*LN(DATI!H11)-8.43*H3)</f>
        <v>324.8716640706593</v>
      </c>
      <c r="I4" s="26">
        <f>EXP(20.62-0.96*LN(DATI!I10)-0.66*LN(DATI!I7)-0.46*LN(DATI!I11)-8.43*I3)</f>
        <v>28.70510375919436</v>
      </c>
      <c r="J4" s="26">
        <f>EXP(20.62-0.96*LN(DATI!J10)-0.66*LN(DATI!J7)-0.46*LN(DATI!J11)-8.43*J3)</f>
        <v>15.962554233370344</v>
      </c>
    </row>
    <row r="5" spans="1:10" ht="27.75" customHeight="1">
      <c r="A5" s="8" t="s">
        <v>21</v>
      </c>
      <c r="C5" s="33">
        <f>0.7919+0.001691*DATI!C10-0.29619*C3-0.000001491*DATI!C9^2+0.0000821*DATI!C11^2+0.02427/DATI!C10+0.01113/DATI!C9+0.01472*LN(DATI!C9)-0.0000733*DATI!C11*DATI!C10-0.000619*C3*DATI!C10-0.001183*C3*DATI!C11-0.0001664*DATI!C4*DATI!C9</f>
        <v>0.48550715759761914</v>
      </c>
      <c r="D5" s="33">
        <f>0.7919+0.001691*DATI!D10-0.29619*D3-0.000001491*DATI!D9^2+0.0000821*DATI!D11^2+0.02427/DATI!D10+0.01113/DATI!D9+0.01472*LN(DATI!D9)-0.0000733*DATI!D11*DATI!D10-0.000619*D3*DATI!D10-0.001183*D3*DATI!D11-0.0001664*DATI!D4*DATI!D9</f>
        <v>0.5065107378819312</v>
      </c>
      <c r="E5" s="33">
        <f>0.7919+0.001691*DATI!E10-0.29619*E3-0.000001491*DATI!E9^2+0.0000821*DATI!E11^2+0.02427/DATI!E10+0.01113/DATI!E9+0.01472*LN(DATI!E9)-0.0000733*DATI!E11*DATI!E10-0.000619*E3*DATI!E10-0.001183*E3*DATI!E11-0.0001664*DATI!E4*DATI!E9</f>
        <v>0.4926264786345449</v>
      </c>
      <c r="F5" s="33">
        <f>0.7919+0.001691*DATI!F10-0.29619*F3-0.000001491*DATI!F9^2+0.0000821*DATI!F11^2+0.02427/DATI!F10+0.01113/DATI!F9+0.01472*LN(DATI!F9)-0.0000733*DATI!F11*DATI!F10-0.000619*F3*DATI!F10-0.001183*F3*DATI!F11-0.0001664*DATI!F4*DATI!F9</f>
        <v>0.517180747298076</v>
      </c>
      <c r="G5" s="33">
        <f>0.7919+0.001691*DATI!G10-0.29619*G3-0.000001491*DATI!G9^2+0.0000821*DATI!G11^2+0.02427/DATI!G10+0.01113/DATI!G9+0.01472*LN(DATI!G9)-0.0000733*DATI!G11*DATI!G10-0.000619*G3*DATI!G10-0.001183*G3*DATI!G11-0.0001664*DATI!G4*DATI!G9</f>
        <v>0.5135784197252298</v>
      </c>
      <c r="H5" s="33">
        <f>0.7919+0.001691*DATI!H10-0.29619*H3-0.000001491*DATI!H9^2+0.0000821*DATI!H11^2+0.02427/DATI!H10+0.01113/DATI!H9+0.01472*LN(DATI!H9)-0.0000733*DATI!H11*DATI!H10-0.000619*H3*DATI!H10-0.001183*H3*DATI!H11-0.0001664*DATI!H4*DATI!H9</f>
        <v>0.5595296770490832</v>
      </c>
      <c r="I5" s="33">
        <f>0.7919+0.001691*DATI!I10-0.29619*I3-0.000001491*DATI!I9^2+0.0000821*DATI!I11^2+0.02427/DATI!I10+0.01113/DATI!I9+0.01472*LN(DATI!I9)-0.0000733*DATI!I11*DATI!I10-0.000619*I3*DATI!I10-0.001183*I3*DATI!I11-0.0001664*DATI!I4*DATI!I9</f>
        <v>0.47308724893862575</v>
      </c>
      <c r="J5" s="33">
        <f>0.7919+0.001691*DATI!J10-0.29619*J3-0.000001491*DATI!J9^2+0.0000821*DATI!J11^2+0.02427/DATI!J10+0.01113/DATI!J9+0.01472*LN(DATI!J9)-0.0000733*DATI!J11*DATI!J10-0.000619*J3*DATI!J10-0.001183*J3*DATI!J11-0.0001664*DATI!J4*DATI!J9</f>
        <v>0.44433718820296997</v>
      </c>
    </row>
    <row r="6" spans="1:10" ht="27.75" customHeight="1">
      <c r="A6" s="8" t="s">
        <v>22</v>
      </c>
      <c r="C6" s="33">
        <f>EXP(-14.96+0.03135*DATI!C10+0.0351*DATI!C9+0.646*DATI!C11+15.29*C3-0.192*DATI!C4-4.671*C3^2-0.000781*DATI!C10^2-0.00687*DATI!C11^2+0.0499/DATI!C11+0.0663*LN(DATI!C9)+0.1482*LN(DATI!C11)-0.04546*C3*DATI!C9-0.4852*C3*DATI!C11+0.00673*DATI!C4*DATI!C10)</f>
        <v>0.02113065871812238</v>
      </c>
      <c r="D6" s="33">
        <f>EXP(-14.96+0.03135*DATI!D10+0.0351*DATI!D9+0.646*DATI!D11+15.29*D3-0.192*DATI!D4-4.671*D3^2-0.000781*DATI!D10^2-0.00687*DATI!D11^2+0.0499/DATI!D11+0.0663*LN(DATI!D9)+0.1482*LN(DATI!D11)-0.04546*D3*DATI!D9-0.4852*D3*DATI!D11+0.00673*DATI!D4*DATI!D10)</f>
        <v>0.015745612087818793</v>
      </c>
      <c r="E6" s="33">
        <f>EXP(-14.96+0.03135*DATI!E10+0.0351*DATI!E9+0.646*DATI!E11+15.29*E3-0.192*DATI!E4-4.671*E3^2-0.000781*DATI!E10^2-0.00687*DATI!E11^2+0.0499/DATI!E11+0.0663*LN(DATI!E9)+0.1482*LN(DATI!E11)-0.04546*E3*DATI!E9-0.4852*E3*DATI!E11+0.00673*DATI!E4*DATI!E10)</f>
        <v>0.02327852356608533</v>
      </c>
      <c r="F6" s="33">
        <f>EXP(-14.96+0.03135*DATI!F10+0.0351*DATI!F9+0.646*DATI!F11+15.29*F3-0.192*DATI!F4-4.671*F3^2-0.000781*DATI!F10^2-0.00687*DATI!F11^2+0.0499/DATI!F11+0.0663*LN(DATI!F9)+0.1482*LN(DATI!F11)-0.04546*F3*DATI!F9-0.4852*F3*DATI!F11+0.00673*DATI!F4*DATI!F10)</f>
        <v>0.01768886678421073</v>
      </c>
      <c r="G6" s="33">
        <f>EXP(-14.96+0.03135*DATI!G10+0.0351*DATI!G9+0.646*DATI!G11+15.29*G3-0.192*DATI!G4-4.671*G3^2-0.000781*DATI!G10^2-0.00687*DATI!G11^2+0.0499/DATI!G11+0.0663*LN(DATI!G9)+0.1482*LN(DATI!G11)-0.04546*G3*DATI!G9-0.4852*G3*DATI!G11+0.00673*DATI!G4*DATI!G10)</f>
        <v>0.019544158982789404</v>
      </c>
      <c r="H6" s="33">
        <f>EXP(-14.96+0.03135*DATI!H10+0.0351*DATI!H9+0.646*DATI!H11+15.29*H3-0.192*DATI!H4-4.671*H3^2-0.000781*DATI!H10^2-0.00687*DATI!H11^2+0.0499/DATI!H11+0.0663*LN(DATI!H9)+0.1482*LN(DATI!H11)-0.04546*H3*DATI!H9-0.4852*H3*DATI!H11+0.00673*DATI!H4*DATI!H10)</f>
        <v>0.009611772683223338</v>
      </c>
      <c r="I6" s="33">
        <f>EXP(-14.96+0.03135*DATI!I10+0.0351*DATI!I9+0.646*DATI!I11+15.29*I3-0.192*DATI!I4-4.671*I3^2-0.000781*DATI!I10^2-0.00687*DATI!I11^2+0.0499/DATI!I11+0.0663*LN(DATI!I9)+0.1482*LN(DATI!I11)-0.04546*I3*DATI!I9-0.4852*I3*DATI!I11+0.00673*DATI!I4*DATI!I10)</f>
        <v>0.05323248890346129</v>
      </c>
      <c r="J6" s="33">
        <f>EXP(-14.96+0.03135*DATI!J10+0.0351*DATI!J9+0.646*DATI!J11+15.29*J3-0.192*DATI!J4-4.671*J3^2-0.000781*DATI!J10^2-0.00687*DATI!J11^2+0.0499/DATI!J11+0.0663*LN(DATI!J9)+0.1482*LN(DATI!J11)-0.04546*J3*DATI!J9-0.4852*J3*DATI!J11+0.00673*DATI!J4*DATI!J10)</f>
        <v>0.05225512776910139</v>
      </c>
    </row>
    <row r="7" spans="1:10" ht="27.75" customHeight="1">
      <c r="A7" s="8" t="s">
        <v>23</v>
      </c>
      <c r="C7" s="33">
        <f>1+EXP(-25.23-0.02195*DATI!C10+0.0074*DATI!C9-0.194*DATI!C11+45.5*C3-7.24*C3^2+0.0003658*DATI!C10^2+0.002885*DATI!C11^2-12.81/C3-0.1524/DATI!C9-0.01958/DATI!C11-0.2876*LN(DATI!C9)-0.0709*LN(DATI!C11)-44.6*LN(C3)-0.02264*C3*DATI!C10+0.0896*C3*DATI!C11+0.00718*DATI!C4*DATI!C10)</f>
        <v>1.129954976612071</v>
      </c>
      <c r="D7" s="33">
        <f>1+EXP(-25.23-0.02195*DATI!D10+0.0074*DATI!D9-0.194*DATI!D11+45.5*D3-7.24*D3^2+0.0003658*DATI!D10^2+0.002885*DATI!D11^2-12.81/D3-0.1524/DATI!D9-0.01958/DATI!D11-0.2876*LN(DATI!D9)-0.0709*LN(DATI!D11)-44.6*LN(D3)-0.02264*D3*DATI!D10+0.0896*D3*DATI!D11+0.00718*DATI!D4*DATI!D10)</f>
        <v>1.0916497693527074</v>
      </c>
      <c r="E7" s="33">
        <f>1+EXP(-25.23-0.02195*DATI!E10+0.0074*DATI!E9-0.194*DATI!E11+45.5*E3-7.24*E3^2+0.0003658*DATI!E10^2+0.002885*DATI!E11^2-12.81/E3-0.1524/DATI!E9-0.01958/DATI!E11-0.2876*LN(DATI!E9)-0.0709*LN(DATI!E11)-44.6*LN(E3)-0.02264*E3*DATI!E10+0.0896*E3*DATI!E11+0.00718*DATI!E4*DATI!E10)</f>
        <v>1.1195901423186563</v>
      </c>
      <c r="F7" s="33">
        <f>1+EXP(-25.23-0.02195*DATI!F10+0.0074*DATI!F9-0.194*DATI!F11+45.5*F3-7.24*F3^2+0.0003658*DATI!F10^2+0.002885*DATI!F11^2-12.81/F3-0.1524/DATI!F9-0.01958/DATI!F11-0.2876*LN(DATI!F9)-0.0709*LN(DATI!F11)-44.6*LN(F3)-0.02264*F3*DATI!F10+0.0896*F3*DATI!F11+0.00718*DATI!F4*DATI!F10)</f>
        <v>1.0854660877987798</v>
      </c>
      <c r="G7" s="33">
        <f>1+EXP(-25.23-0.02195*DATI!G10+0.0074*DATI!G9-0.194*DATI!G11+45.5*G3-7.24*G3^2+0.0003658*DATI!G10^2+0.002885*DATI!G11^2-12.81/G3-0.1524/DATI!G9-0.01958/DATI!G11-0.2876*LN(DATI!G9)-0.0709*LN(DATI!G11)-44.6*LN(G3)-0.02264*G3*DATI!G10+0.0896*G3*DATI!G11+0.00718*DATI!G4*DATI!G10)</f>
        <v>1.1197191358906786</v>
      </c>
      <c r="H7" s="33">
        <f>1+EXP(-25.23-0.02195*DATI!H10+0.0074*DATI!H9-0.194*DATI!H11+45.5*H3-7.24*H3^2+0.0003658*DATI!H10^2+0.002885*DATI!H11^2-12.81/H3-0.1524/DATI!H9-0.01958/DATI!H11-0.2876*LN(DATI!H9)-0.0709*LN(DATI!H11)-44.6*LN(H3)-0.02264*H3*DATI!H10+0.0896*H3*DATI!H11+0.00718*DATI!H4*DATI!H10)</f>
        <v>1.089304069419315</v>
      </c>
      <c r="I7" s="33">
        <f>1+EXP(-25.23-0.02195*DATI!I10+0.0074*DATI!I9-0.194*DATI!I11+45.5*I3-7.24*I3^2+0.0003658*DATI!I10^2+0.002885*DATI!I11^2-12.81/I3-0.1524/DATI!I9-0.01958/DATI!I11-0.2876*LN(DATI!I9)-0.0709*LN(DATI!I11)-44.6*LN(I3)-0.02264*I3*DATI!I10+0.0896*I3*DATI!I11+0.00718*DATI!I4*DATI!I10)</f>
        <v>1.137998723184305</v>
      </c>
      <c r="J7" s="33">
        <f>1+EXP(-25.23-0.02195*DATI!J10+0.0074*DATI!J9-0.194*DATI!J11+45.5*J3-7.24*J3^2+0.0003658*DATI!J10^2+0.002885*DATI!J11^2-12.81/J3-0.1524/DATI!J9-0.01958/DATI!J11-0.2876*LN(DATI!J9)-0.0709*LN(DATI!J11)-44.6*LN(J3)-0.02264*J3*DATI!J10+0.0896*J3*DATI!J11+0.00718*DATI!J4*DATI!J10)</f>
        <v>1.1235442779427172</v>
      </c>
    </row>
    <row r="8" spans="1:10" ht="27.75" customHeight="1">
      <c r="A8" s="8" t="s">
        <v>24</v>
      </c>
      <c r="C8" s="33">
        <f aca="true" t="shared" si="0" ref="C8:H8">C5*(1+(C6*330)^C7)^-(1-1/C7)</f>
        <v>0.3726590486034596</v>
      </c>
      <c r="D8" s="33">
        <f t="shared" si="0"/>
        <v>0.4299461237532127</v>
      </c>
      <c r="E8" s="33">
        <f t="shared" si="0"/>
        <v>0.3820483317853062</v>
      </c>
      <c r="F8" s="33">
        <f t="shared" si="0"/>
        <v>0.4400046604092452</v>
      </c>
      <c r="G8" s="33">
        <f t="shared" si="0"/>
        <v>0.4057523087384161</v>
      </c>
      <c r="H8" s="33">
        <f t="shared" si="0"/>
        <v>0.49447256547062207</v>
      </c>
      <c r="I8" s="33">
        <f>I5*(1+(I6*330)^I7)^-(1-1/I7)</f>
        <v>0.31709879368363714</v>
      </c>
      <c r="J8" s="33">
        <f>J5*(1+(J6*330)^J7)^-(1-1/J7)</f>
        <v>0.3111882397477341</v>
      </c>
    </row>
    <row r="9" spans="1:10" ht="27.75" customHeight="1">
      <c r="A9" s="8" t="s">
        <v>26</v>
      </c>
      <c r="C9" s="33">
        <f aca="true" t="shared" si="1" ref="C9:H9">C5*(1+(C6*15000)^C7)^-(1-1/C7)</f>
        <v>0.22966942330955875</v>
      </c>
      <c r="D9" s="33">
        <f t="shared" si="1"/>
        <v>0.30689324620860503</v>
      </c>
      <c r="E9" s="33">
        <f t="shared" si="1"/>
        <v>0.24452796135931829</v>
      </c>
      <c r="F9" s="33">
        <f t="shared" si="1"/>
        <v>0.32093013469023157</v>
      </c>
      <c r="G9" s="33">
        <f t="shared" si="1"/>
        <v>0.26011567980979244</v>
      </c>
      <c r="H9" s="33">
        <f t="shared" si="1"/>
        <v>0.35881200871968394</v>
      </c>
      <c r="I9" s="33">
        <f>I5*(1+(I6*15000)^I7)^-(1-1/I7)</f>
        <v>0.18810733910111072</v>
      </c>
      <c r="J9" s="33">
        <f>J5*(1+(J6*15000)^J7)^-(1-1/J7)</f>
        <v>0.19503905502318605</v>
      </c>
    </row>
    <row r="10" spans="1:10" ht="27.75" customHeight="1">
      <c r="A10" s="8" t="s">
        <v>25</v>
      </c>
      <c r="C10" s="62">
        <f aca="true" t="shared" si="2" ref="C10:H10">C5-C8</f>
        <v>0.11284810899415954</v>
      </c>
      <c r="D10" s="62">
        <f t="shared" si="2"/>
        <v>0.07656461412871857</v>
      </c>
      <c r="E10" s="62">
        <f t="shared" si="2"/>
        <v>0.11057814684923867</v>
      </c>
      <c r="F10" s="62">
        <f t="shared" si="2"/>
        <v>0.07717608688883076</v>
      </c>
      <c r="G10" s="62">
        <f t="shared" si="2"/>
        <v>0.10782611098681366</v>
      </c>
      <c r="H10" s="62">
        <f t="shared" si="2"/>
        <v>0.06505711157846111</v>
      </c>
      <c r="I10" s="62">
        <f>I5-I8</f>
        <v>0.1559884552549886</v>
      </c>
      <c r="J10" s="62">
        <f>J5-J8</f>
        <v>0.1331489484552359</v>
      </c>
    </row>
    <row r="11" spans="1:10" ht="27.75" customHeight="1">
      <c r="A11" s="8" t="s">
        <v>27</v>
      </c>
      <c r="B11" s="23" t="s">
        <v>29</v>
      </c>
      <c r="C11" s="33">
        <f>(C8-C9)*DATI!C5*((100-DATI!C6)/100)</f>
        <v>53.84703309317719</v>
      </c>
      <c r="D11" s="33">
        <f>(D8-D9)*DATI!D5*((100-DATI!D6)/100)</f>
        <v>59.01492954161838</v>
      </c>
      <c r="E11" s="33">
        <f>(E8-E9)*DATI!E5*((100-DATI!E6)/100)</f>
        <v>51.99645205806604</v>
      </c>
      <c r="F11" s="33">
        <f>(F8-F9)*DATI!F5*((100-DATI!F6)/100)</f>
        <v>23.67201571293991</v>
      </c>
      <c r="G11" s="33">
        <f>(G8-G9)*DATI!G5*((100-DATI!G6)/100)</f>
        <v>55.00986747891974</v>
      </c>
      <c r="H11" s="33">
        <f>(H8-H9)*DATI!H5*((100-DATI!H6)/100)</f>
        <v>53.93863736417301</v>
      </c>
      <c r="I11" s="33">
        <f>(I8-I9)*DATI!I5*((100-DATI!I6)/100)</f>
        <v>48.72265222491188</v>
      </c>
      <c r="J11" s="33">
        <f>(J8-J9)*DATI!J5*((100-DATI!J6)/100)</f>
        <v>17.300421064721426</v>
      </c>
    </row>
  </sheetData>
  <sheetProtection password="CA9D" sheet="1"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15" sqref="H15"/>
    </sheetView>
  </sheetViews>
  <sheetFormatPr defaultColWidth="8.8515625" defaultRowHeight="12.75"/>
  <cols>
    <col min="1" max="1" width="23.28125" style="0" customWidth="1"/>
    <col min="2" max="2" width="11.421875" style="0" customWidth="1"/>
    <col min="3" max="3" width="10.28125" style="0" customWidth="1"/>
    <col min="4" max="4" width="4.28125" style="0" customWidth="1"/>
    <col min="5" max="5" width="8.8515625" style="0" customWidth="1"/>
    <col min="6" max="6" width="11.00390625" style="0" customWidth="1"/>
  </cols>
  <sheetData>
    <row r="1" spans="1:14" ht="22.5" customHeight="1">
      <c r="A1" s="34" t="s">
        <v>12</v>
      </c>
      <c r="B1" s="14"/>
      <c r="C1" s="9"/>
      <c r="D1" s="9"/>
      <c r="E1" s="9"/>
      <c r="F1" s="9"/>
      <c r="G1" s="9"/>
      <c r="H1" s="9"/>
      <c r="I1" s="9"/>
      <c r="J1" s="9"/>
      <c r="K1" s="7"/>
      <c r="L1" s="7"/>
      <c r="M1" s="7"/>
      <c r="N1" s="7"/>
    </row>
    <row r="2" spans="1:12" s="11" customFormat="1" ht="9.75" customHeight="1">
      <c r="A2" s="37"/>
      <c r="B2" s="38"/>
      <c r="C2" s="29"/>
      <c r="D2" s="29"/>
      <c r="E2" s="29"/>
      <c r="F2" s="29"/>
      <c r="G2" s="29"/>
      <c r="H2" s="29"/>
      <c r="I2" s="29"/>
      <c r="J2" s="29"/>
      <c r="K2" s="39"/>
      <c r="L2" s="39"/>
    </row>
    <row r="3" spans="1:10" ht="15">
      <c r="A3" s="10" t="s">
        <v>0</v>
      </c>
      <c r="B3" s="19">
        <v>2</v>
      </c>
      <c r="C3" s="10"/>
      <c r="D3" s="10"/>
      <c r="E3" s="10"/>
      <c r="F3" s="10"/>
      <c r="G3" s="10"/>
      <c r="H3" s="10"/>
      <c r="I3" s="10"/>
      <c r="J3" s="10"/>
    </row>
    <row r="4" spans="1:10" ht="16.5">
      <c r="A4" s="46" t="s">
        <v>1</v>
      </c>
      <c r="B4" s="12">
        <f>0.045*B3+0.0065*B3^2</f>
        <v>0.11599999999999999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4" ht="27" customHeight="1">
      <c r="A6" s="35" t="s">
        <v>32</v>
      </c>
      <c r="B6" s="35"/>
      <c r="C6" s="36"/>
      <c r="D6" s="36"/>
      <c r="E6" s="36"/>
      <c r="F6" s="15"/>
      <c r="G6" s="15"/>
      <c r="H6" s="15"/>
      <c r="I6" s="15"/>
      <c r="J6" s="15"/>
      <c r="K6" s="6"/>
      <c r="L6" s="6"/>
      <c r="M6" s="6"/>
      <c r="N6" s="6"/>
    </row>
    <row r="7" spans="1:12" s="11" customFormat="1" ht="11.25" customHeight="1">
      <c r="A7" s="37"/>
      <c r="B7" s="37"/>
      <c r="C7" s="40"/>
      <c r="D7" s="40"/>
      <c r="E7" s="40"/>
      <c r="F7" s="29"/>
      <c r="G7" s="29"/>
      <c r="H7" s="29"/>
      <c r="I7" s="29"/>
      <c r="J7" s="29"/>
      <c r="K7" s="39"/>
      <c r="L7" s="39"/>
    </row>
    <row r="8" spans="1:12" ht="15">
      <c r="A8" s="10" t="s">
        <v>2</v>
      </c>
      <c r="B8" s="45">
        <f>DATI!C8</f>
        <v>4.5</v>
      </c>
      <c r="C8" s="10" t="s">
        <v>3</v>
      </c>
      <c r="D8" s="10"/>
      <c r="E8" s="10"/>
      <c r="F8" s="10"/>
      <c r="G8" s="10"/>
      <c r="H8" s="10"/>
      <c r="I8" s="10"/>
      <c r="J8" s="10"/>
      <c r="K8" s="11"/>
      <c r="L8" s="11"/>
    </row>
    <row r="9" spans="1:12" ht="15">
      <c r="A9" s="10" t="s">
        <v>4</v>
      </c>
      <c r="B9" s="45">
        <f>DATI!C9</f>
        <v>47.3</v>
      </c>
      <c r="C9" s="10" t="s">
        <v>3</v>
      </c>
      <c r="D9" s="10"/>
      <c r="E9" s="10"/>
      <c r="F9" s="10"/>
      <c r="G9" s="10"/>
      <c r="H9" s="10"/>
      <c r="I9" s="10"/>
      <c r="J9" s="10"/>
      <c r="K9" s="11"/>
      <c r="L9" s="11"/>
    </row>
    <row r="10" spans="1:12" ht="15">
      <c r="A10" s="10" t="s">
        <v>5</v>
      </c>
      <c r="B10" s="45">
        <f>DATI!C10</f>
        <v>46.1</v>
      </c>
      <c r="C10" s="10" t="s">
        <v>3</v>
      </c>
      <c r="D10" s="10"/>
      <c r="E10" s="10"/>
      <c r="F10" s="10"/>
      <c r="G10" s="10"/>
      <c r="H10" s="10"/>
      <c r="I10" s="10"/>
      <c r="J10" s="10"/>
      <c r="K10" s="11"/>
      <c r="L10" s="11"/>
    </row>
    <row r="11" spans="1:12" ht="15">
      <c r="A11" s="10" t="s">
        <v>6</v>
      </c>
      <c r="B11" s="45">
        <f>DATI!C11</f>
        <v>1.41</v>
      </c>
      <c r="C11" s="10" t="s">
        <v>3</v>
      </c>
      <c r="D11" s="10"/>
      <c r="E11" s="10"/>
      <c r="F11" s="10"/>
      <c r="G11" s="10"/>
      <c r="H11" s="10"/>
      <c r="I11" s="10"/>
      <c r="J11" s="10"/>
      <c r="K11" s="11"/>
      <c r="L11" s="11"/>
    </row>
    <row r="12" spans="1:12" ht="15">
      <c r="A12" s="10" t="s">
        <v>7</v>
      </c>
      <c r="B12" s="20">
        <v>3</v>
      </c>
      <c r="C12" s="44" t="s">
        <v>36</v>
      </c>
      <c r="D12" s="10"/>
      <c r="E12" s="10"/>
      <c r="F12" s="10"/>
      <c r="G12" s="10"/>
      <c r="H12" s="10"/>
      <c r="I12" s="10"/>
      <c r="J12" s="10"/>
      <c r="K12" s="11"/>
      <c r="L12" s="11"/>
    </row>
    <row r="13" spans="1:12" ht="15">
      <c r="A13" s="10" t="s">
        <v>8</v>
      </c>
      <c r="B13" s="20">
        <v>1</v>
      </c>
      <c r="C13" s="44" t="s">
        <v>35</v>
      </c>
      <c r="D13" s="10"/>
      <c r="E13" s="10"/>
      <c r="F13" s="10"/>
      <c r="G13" s="10"/>
      <c r="H13" s="10"/>
      <c r="I13" s="10"/>
      <c r="J13" s="10"/>
      <c r="K13" s="11"/>
      <c r="L13" s="11"/>
    </row>
    <row r="14" spans="1:12" ht="15.75">
      <c r="A14" s="16"/>
      <c r="D14" s="10"/>
      <c r="E14" s="10"/>
      <c r="F14" s="10"/>
      <c r="G14" s="10"/>
      <c r="H14" s="10"/>
      <c r="I14" s="10"/>
      <c r="J14" s="10"/>
      <c r="K14" s="11"/>
      <c r="L14" s="11"/>
    </row>
    <row r="15" spans="1:12" ht="16.5">
      <c r="A15" s="47" t="s">
        <v>33</v>
      </c>
      <c r="B15" s="17">
        <f>E15*10</f>
        <v>0.22572695183746</v>
      </c>
      <c r="C15" s="18" t="s">
        <v>9</v>
      </c>
      <c r="D15" s="10"/>
      <c r="E15" s="41">
        <f>(2.77*0.0000001*(((B8+B9)*(100-B10))^1.14)*(12-B11)+0.0043*(B12-2)+0.0033*(B13-3))</f>
        <v>0.022572695183746</v>
      </c>
      <c r="F15" s="42" t="s">
        <v>10</v>
      </c>
      <c r="G15" s="10"/>
      <c r="H15" s="10"/>
      <c r="I15" s="10"/>
      <c r="J15" s="10"/>
      <c r="K15" s="11"/>
      <c r="L15" s="11"/>
    </row>
    <row r="16" spans="1:10" ht="15">
      <c r="A16" s="8"/>
      <c r="D16" s="8"/>
      <c r="E16" s="8"/>
      <c r="F16" s="8"/>
      <c r="G16" s="8"/>
      <c r="H16" s="8"/>
      <c r="I16" s="8"/>
      <c r="J16" s="8"/>
    </row>
    <row r="17" spans="1:10" ht="15">
      <c r="A17" s="8"/>
      <c r="B17" s="8"/>
      <c r="C17" s="13"/>
      <c r="D17" s="8"/>
      <c r="E17" s="8"/>
      <c r="F17" s="8"/>
      <c r="G17" s="8"/>
      <c r="H17" s="8"/>
      <c r="I17" s="8"/>
      <c r="J17" s="8"/>
    </row>
    <row r="18" spans="1:10" ht="15">
      <c r="A18" s="8"/>
      <c r="B18" s="8"/>
      <c r="C18" s="13"/>
      <c r="D18" s="8"/>
      <c r="E18" s="8"/>
      <c r="F18" s="8"/>
      <c r="G18" s="8"/>
      <c r="H18" s="8"/>
      <c r="I18" s="8"/>
      <c r="J18" s="8"/>
    </row>
    <row r="19" spans="1:10" ht="15.75">
      <c r="A19" s="8"/>
      <c r="B19" s="30"/>
      <c r="C19" s="31" t="s">
        <v>11</v>
      </c>
      <c r="D19" s="32"/>
      <c r="E19" s="32"/>
      <c r="F19" s="32"/>
      <c r="G19" s="32"/>
      <c r="H19" s="8"/>
      <c r="I19" s="8"/>
      <c r="J19" s="8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spans="1:3" ht="15">
      <c r="A25" s="1"/>
      <c r="B25" s="3"/>
      <c r="C25" s="5"/>
    </row>
    <row r="26" ht="12.75">
      <c r="C26" s="5"/>
    </row>
    <row r="27" spans="2:3" ht="15">
      <c r="B27" s="2"/>
      <c r="C27" s="5"/>
    </row>
    <row r="28" ht="12.75">
      <c r="C28" s="5"/>
    </row>
    <row r="29" spans="2:3" ht="15.75">
      <c r="B29" s="4"/>
      <c r="C29" s="5"/>
    </row>
  </sheetData>
  <sheetProtection/>
  <printOptions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Life</cp:lastModifiedBy>
  <cp:lastPrinted>2016-09-08T10:58:42Z</cp:lastPrinted>
  <dcterms:created xsi:type="dcterms:W3CDTF">1998-10-21T10:31:12Z</dcterms:created>
  <dcterms:modified xsi:type="dcterms:W3CDTF">2016-09-08T11:03:48Z</dcterms:modified>
  <cp:category/>
  <cp:version/>
  <cp:contentType/>
  <cp:contentStatus/>
</cp:coreProperties>
</file>